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Экономисты\ПЭО\ЭКОНОМИЧЕСКИЙ ОТДЕЛ 2020\ПФХД\30.09.2020\расшифровки\"/>
    </mc:Choice>
  </mc:AlternateContent>
  <bookViews>
    <workbookView xWindow="0" yWindow="0" windowWidth="28800" windowHeight="13590"/>
  </bookViews>
  <sheets>
    <sheet name="93 на 30.09.2020" sheetId="2" r:id="rId1"/>
  </sheets>
  <definedNames>
    <definedName name="Z_8B529106_C9A4_4FFC_9C77_E004124DF468_.wvu.PrintArea" localSheetId="0" hidden="1">'93 на 30.09.2020'!$A$1:$H$383</definedName>
    <definedName name="Z_DD4FA759_B4DB_4548_ACD3_8339EB13B447_.wvu.PrintArea" localSheetId="0" hidden="1">'93 на 30.09.2020'!$A$1:$H$383</definedName>
    <definedName name="_xlnm.Print_Area" localSheetId="0">'93 на 30.09.2020'!$A$1:$H$383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9" i="2" l="1"/>
  <c r="E364" i="2"/>
  <c r="D342" i="2"/>
  <c r="Q336" i="2"/>
  <c r="E305" i="2"/>
  <c r="E181" i="2"/>
  <c r="E165" i="2"/>
  <c r="C150" i="2"/>
  <c r="C148" i="2"/>
  <c r="C144" i="2"/>
  <c r="B102" i="2"/>
  <c r="C102" i="2"/>
  <c r="A102" i="2"/>
  <c r="C94" i="2"/>
  <c r="D94" i="2"/>
  <c r="Q27" i="2"/>
  <c r="Q26" i="2"/>
  <c r="Q23" i="2"/>
  <c r="Q24" i="2"/>
  <c r="Q25" i="2"/>
  <c r="E168" i="2" l="1"/>
  <c r="E376" i="2"/>
  <c r="D336" i="2"/>
  <c r="D350" i="2"/>
  <c r="D330" i="2"/>
  <c r="F263" i="2"/>
  <c r="C167" i="2"/>
  <c r="D77" i="2" l="1"/>
  <c r="E30" i="2"/>
  <c r="Q22" i="2"/>
  <c r="E320" i="2" l="1"/>
  <c r="F277" i="2"/>
  <c r="Q278" i="2" s="1"/>
  <c r="F273" i="2"/>
  <c r="Q274" i="2"/>
  <c r="F231" i="2"/>
  <c r="E191" i="2"/>
  <c r="C166" i="2"/>
  <c r="C165" i="2"/>
  <c r="B111" i="2" l="1"/>
  <c r="D61" i="2"/>
  <c r="D62" i="2"/>
  <c r="D68" i="2"/>
  <c r="D65" i="2"/>
  <c r="D60" i="2"/>
  <c r="D75" i="2"/>
  <c r="D74" i="2"/>
  <c r="D73" i="2"/>
  <c r="D72" i="2"/>
  <c r="D71" i="2"/>
  <c r="D70" i="2"/>
  <c r="D69" i="2"/>
  <c r="D67" i="2"/>
  <c r="D66" i="2"/>
  <c r="D64" i="2"/>
  <c r="D63" i="2"/>
  <c r="C181" i="2" l="1"/>
  <c r="C180" i="2"/>
  <c r="E182" i="2"/>
  <c r="Q182" i="2" s="1"/>
  <c r="A111" i="2"/>
  <c r="Q320" i="2" l="1"/>
  <c r="E193" i="2"/>
  <c r="Q193" i="2" s="1"/>
  <c r="F47" i="2" l="1"/>
  <c r="Q77" i="2" l="1"/>
  <c r="F94" i="2"/>
  <c r="Q94" i="2" s="1"/>
  <c r="E14" i="2"/>
  <c r="E15" i="2"/>
  <c r="F16" i="2"/>
  <c r="I261" i="2" l="1"/>
  <c r="I262" i="2"/>
  <c r="I263" i="2"/>
  <c r="E130" i="2" l="1"/>
  <c r="F130" i="2" s="1"/>
  <c r="F131" i="2" s="1"/>
  <c r="F121" i="2"/>
  <c r="F54" i="2" l="1"/>
  <c r="R4" i="2" l="1"/>
  <c r="E231" i="2" l="1"/>
  <c r="F232" i="2"/>
  <c r="L358" i="2"/>
  <c r="K359" i="2" s="1"/>
  <c r="Q231" i="2" l="1"/>
  <c r="Q351" i="2"/>
  <c r="J275" i="2"/>
  <c r="J277" i="2"/>
  <c r="J276" i="2"/>
  <c r="J271" i="2"/>
  <c r="K271" i="2" s="1"/>
  <c r="L271" i="2"/>
  <c r="J273" i="2"/>
  <c r="J272" i="2"/>
  <c r="F265" i="2"/>
  <c r="Q265" i="2" s="1"/>
  <c r="K263" i="2"/>
  <c r="L262" i="2"/>
  <c r="L261" i="2"/>
  <c r="K262" i="2"/>
  <c r="K261" i="2"/>
  <c r="L263" i="2"/>
  <c r="D264" i="2"/>
  <c r="I265" i="2" l="1"/>
  <c r="M261" i="2"/>
  <c r="F278" i="2" l="1"/>
  <c r="K277" i="2" l="1"/>
  <c r="K273" i="2"/>
  <c r="K272" i="2"/>
  <c r="Q305" i="2"/>
  <c r="L277" i="2"/>
  <c r="L276" i="2"/>
  <c r="L275" i="2"/>
  <c r="K275" i="2"/>
  <c r="L273" i="2"/>
  <c r="L272" i="2"/>
  <c r="F242" i="2"/>
  <c r="E241" i="2"/>
  <c r="E217" i="2"/>
  <c r="C111" i="2"/>
  <c r="E94" i="2"/>
  <c r="F380" i="2" l="1"/>
  <c r="J364" i="2"/>
  <c r="K365" i="2" s="1"/>
  <c r="K278" i="2"/>
  <c r="M263" i="2"/>
  <c r="N263" i="2" s="1"/>
  <c r="M262" i="2"/>
  <c r="N261" i="2"/>
  <c r="K276" i="2"/>
  <c r="M264" i="2" l="1"/>
  <c r="N262" i="2"/>
  <c r="A94" i="2"/>
  <c r="F381" i="2" l="1"/>
  <c r="F385" i="2" s="1"/>
  <c r="D144" i="2"/>
  <c r="D148" i="2"/>
  <c r="C153" i="2" l="1"/>
  <c r="D153" i="2" s="1"/>
  <c r="D150" i="2"/>
  <c r="D154" i="2" l="1"/>
</calcChain>
</file>

<file path=xl/sharedStrings.xml><?xml version="1.0" encoding="utf-8"?>
<sst xmlns="http://schemas.openxmlformats.org/spreadsheetml/2006/main" count="593" uniqueCount="277">
  <si>
    <t>Источник финансового обеспечения Бюджет, Внебюджет</t>
  </si>
  <si>
    <t>Фонд оплаты труда по штатному расписанию, руб.</t>
  </si>
  <si>
    <t>Фонд оплаты труда по тарификации, руб.</t>
  </si>
  <si>
    <t>Фонд оплаты труда в год, руб.*</t>
  </si>
  <si>
    <t>Областной бюджет</t>
  </si>
  <si>
    <t>Местный бюджет</t>
  </si>
  <si>
    <t>непедагогические работники, участвующие в образовательном процессе</t>
  </si>
  <si>
    <t>непедагогические работники, не участвующие в образовательном процессе</t>
  </si>
  <si>
    <t>педагогические работники</t>
  </si>
  <si>
    <t>в месяц</t>
  </si>
  <si>
    <t>в год</t>
  </si>
  <si>
    <t>*Рассчитывается путем сложения граф 2+4+6= 7</t>
  </si>
  <si>
    <t>ПОУ</t>
  </si>
  <si>
    <t>№ п/п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</si>
  <si>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</si>
  <si>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</si>
  <si>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</si>
  <si>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</si>
  <si>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руб.*</t>
  </si>
  <si>
    <t>Итого</t>
  </si>
  <si>
    <t>х</t>
  </si>
  <si>
    <t>*Рассчитывается путем умножения значений показателей в графах 3, 4, 5.</t>
  </si>
  <si>
    <t>№</t>
  </si>
  <si>
    <t>Численность работников, получающих пособие, чел.</t>
  </si>
  <si>
    <t>Размер выплаты (пособия) в месяц, руб.</t>
  </si>
  <si>
    <t>x</t>
  </si>
  <si>
    <t xml:space="preserve">на обязательное страхование в Пенсионный фонд Российской Федерации, </t>
  </si>
  <si>
    <t xml:space="preserve">в Фонд социального страхования Российской Федерации, </t>
  </si>
  <si>
    <t>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</si>
  <si>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</si>
  <si>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</si>
  <si>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</si>
  <si>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 том числе:</t>
  </si>
  <si>
    <t>1.1.</t>
  </si>
  <si>
    <t>по ставке 22,0 %</t>
  </si>
  <si>
    <t>1.2.</t>
  </si>
  <si>
    <t>по ставке 10,0 %</t>
  </si>
  <si>
    <t>1.3.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</si>
  <si>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</si>
  <si>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 том числе:</t>
  </si>
  <si>
    <t>2.1.</t>
  </si>
  <si>
    <t>обязательное социальное страхование на случай временной нетрудоспособности и в связи с материнством по ставке 2,9 %</t>
  </si>
  <si>
    <t>2.2.</t>
  </si>
  <si>
    <t>с применением ставки взносов в Фонд социального страхования Российской Федерации по ставке 0,0 %</t>
  </si>
  <si>
    <t>2.3.</t>
  </si>
  <si>
    <t>обязательное социальное страхование от несчастных случаев на производстве и профессиональных заболеваний по ставке 0,2 %</t>
  </si>
  <si>
    <t>2.4.</t>
  </si>
  <si>
    <t>обязательное социальное страхование от несчастных случаев на производстве и профессиональных заболеваний по ставке 0,_ %</t>
  </si>
  <si>
    <t>2.5.</t>
  </si>
  <si>
    <t>Страховые взносы в Федеральный фонд обязательного медицинского страхования по ставке 5,1 %</t>
  </si>
  <si>
    <t>Наименование показателя</t>
  </si>
  <si>
    <t>Размер одной выплаты, руб.</t>
  </si>
  <si>
    <t>Количество выплат в год, ед.</t>
  </si>
  <si>
    <t>Общая сумма выплат, руб.*</t>
  </si>
  <si>
    <t>Питание детей</t>
  </si>
  <si>
    <t>Источник финансового обеспечения Бюджет</t>
  </si>
  <si>
    <t>Налоговая база, руб.</t>
  </si>
  <si>
    <t>Ставка налога, %</t>
  </si>
  <si>
    <t>Налог на землю</t>
  </si>
  <si>
    <t>Источник финансового обеспечения Внебюджет</t>
  </si>
  <si>
    <t>Код видов расходов  ______________</t>
  </si>
  <si>
    <t>Источник финансового обеспечения __________________</t>
  </si>
  <si>
    <t>*Рассчитывается путем умножения значений показателей в графах 3 и 4.</t>
  </si>
  <si>
    <t>Количество номеров</t>
  </si>
  <si>
    <t>Количество платежей в год</t>
  </si>
  <si>
    <t>Стоимость за единицу, руб.</t>
  </si>
  <si>
    <t>Примечание</t>
  </si>
  <si>
    <t>Услуги связи</t>
  </si>
  <si>
    <t>бюджет</t>
  </si>
  <si>
    <t>*Рассчитывается путем умножения значений показателей в графах 4, 5, 6.</t>
  </si>
  <si>
    <t>Количество услуг перевозки</t>
  </si>
  <si>
    <t>Цена услуги перевозки, руб.</t>
  </si>
  <si>
    <t>Итого </t>
  </si>
  <si>
    <t>Размер потребления ресурсов</t>
  </si>
  <si>
    <t>Тариф (с учетом НДС), руб.</t>
  </si>
  <si>
    <t>Индексация, %</t>
  </si>
  <si>
    <t>Электроэнергия</t>
  </si>
  <si>
    <t>Водоснабжение</t>
  </si>
  <si>
    <t>Тепловая энергия</t>
  </si>
  <si>
    <t>возмещение</t>
  </si>
  <si>
    <t>Количество</t>
  </si>
  <si>
    <t>Ставка арендной платы</t>
  </si>
  <si>
    <t>Стоимость с учетом НДС, руб.</t>
  </si>
  <si>
    <t>Объект</t>
  </si>
  <si>
    <t>Стоимость работ (услуг), руб.</t>
  </si>
  <si>
    <t>Дератизация</t>
  </si>
  <si>
    <t>Количество договоров, шт</t>
  </si>
  <si>
    <t>Средняя стоимость, руб.</t>
  </si>
  <si>
    <t>Стоимость услуги, руб.</t>
  </si>
  <si>
    <t>Медицинский осмотр</t>
  </si>
  <si>
    <t>Услуги по бухгалтерскому обслужививанию</t>
  </si>
  <si>
    <t>Количество, шт</t>
  </si>
  <si>
    <t>Сумма, руб.</t>
  </si>
  <si>
    <t xml:space="preserve">Примечание                    </t>
  </si>
  <si>
    <t>Итого Бюджет</t>
  </si>
  <si>
    <t>Итого Внебюджет</t>
  </si>
  <si>
    <t>Электроизмерения</t>
  </si>
  <si>
    <t>Услуги охраны (выезд ГБР)</t>
  </si>
  <si>
    <t>Источник финансового обеспечения _бюджет</t>
  </si>
  <si>
    <t>Код видов расходов  _</t>
  </si>
  <si>
    <t>Услуги лицензированной охраны</t>
  </si>
  <si>
    <t>Пособие по уходу за ребенком до 3-х лет</t>
  </si>
  <si>
    <t>Код видов расходов  323</t>
  </si>
  <si>
    <t>Код видов расходов 851</t>
  </si>
  <si>
    <t>Код видов расходов  244</t>
  </si>
  <si>
    <t>Код видов расходов  119,111,112</t>
  </si>
  <si>
    <t>Больничный лист за счет предприятия</t>
  </si>
  <si>
    <t>Услуги интернет</t>
  </si>
  <si>
    <t>Обращение с ТКО</t>
  </si>
  <si>
    <t>1052 реб*2529=2660508</t>
  </si>
  <si>
    <t>учебные</t>
  </si>
  <si>
    <t>интернет</t>
  </si>
  <si>
    <t>програмное обеспечение</t>
  </si>
  <si>
    <t xml:space="preserve"> Аттестаты (бланки строгой отчетности), медали, похвальные листы</t>
  </si>
  <si>
    <t>Обоснования (расчеты), прилагаемые к Плану финансово-хозяйственной деятельности муниципального учреждения</t>
  </si>
  <si>
    <t>РАЗДЕЛ 1</t>
  </si>
  <si>
    <t>ДОХОДЫ</t>
  </si>
  <si>
    <t>1. Доходы от использования собственности</t>
  </si>
  <si>
    <t>Источник доходов (объект имущества)</t>
  </si>
  <si>
    <t>Единица измерения</t>
  </si>
  <si>
    <t>Размер платы (тариф, ставка), руб.</t>
  </si>
  <si>
    <t xml:space="preserve">Сумма исчисленного налога, подлежащего уплате, руб.* </t>
  </si>
  <si>
    <t>2. Доходы в виде целевых субсидий</t>
  </si>
  <si>
    <t>ИТОГО</t>
  </si>
  <si>
    <t>Код (наименование субсидии)</t>
  </si>
  <si>
    <t>Направления расходования субсидии</t>
  </si>
  <si>
    <t>Расчет (обоснование)*</t>
  </si>
  <si>
    <t>* Субсидия на ремонт зданий и сооружений включается в расчет на основании приложенного согласованного локального сметного расчета.</t>
  </si>
  <si>
    <t>3. Доходы от оказания услуг (выполнения работ)</t>
  </si>
  <si>
    <t>Наименование услуги (работы)</t>
  </si>
  <si>
    <t>Объем услуг (работ)</t>
  </si>
  <si>
    <t>Затраты на единицу услуги (работы), руб.</t>
  </si>
  <si>
    <t>В рамках установленного муниципального задания</t>
  </si>
  <si>
    <t>Сверх установленного муниципального задания</t>
  </si>
  <si>
    <t>4. Доходы от иной приносящей доход деятельности</t>
  </si>
  <si>
    <t>Вид деятельности</t>
  </si>
  <si>
    <t>Расчет (обоснование)</t>
  </si>
  <si>
    <t>РАЗДЕЛ 2</t>
  </si>
  <si>
    <t>РАСХОДЫ</t>
  </si>
  <si>
    <t>1. Обоснование (расчет) выплат персоналу (строка 210)</t>
  </si>
  <si>
    <t>1.1. Обоснование (расчет) расходов на оплату труда</t>
  </si>
  <si>
    <t>1.2. Обоснование (расчет) выплат при направлении в служебные командировки</t>
  </si>
  <si>
    <t>Наименование выплаты</t>
  </si>
  <si>
    <t>1.3. Обоснование (расчет) расходов на выплаты пособия по уходу за ребенком</t>
  </si>
  <si>
    <t>Количество выплат в год на одного работника</t>
  </si>
  <si>
    <t xml:space="preserve">1.4. Обоснование (расчет) страховых взносов </t>
  </si>
  <si>
    <t>2. Обоснование (расчет) расходов на социальные и иные выплаты населению.</t>
  </si>
  <si>
    <t>*Рассчитывается путем умножения значений показателей в графах 3, 4,5</t>
  </si>
  <si>
    <r>
      <t>Источник финансового обеспечения __</t>
    </r>
    <r>
      <rPr>
        <b/>
        <u/>
        <sz val="14"/>
        <rFont val="Liberation Serif"/>
        <family val="1"/>
        <charset val="204"/>
      </rPr>
      <t>иные субсидии, выделенные из бюджета</t>
    </r>
  </si>
  <si>
    <t>3. Обоснование (расчет) расходов на уплату налогов, сборов и иных платежей</t>
  </si>
  <si>
    <t>5. Обоснование (расчет) прочих расходов (кроме расходов на закупку товаров, работ, услуг)</t>
  </si>
  <si>
    <t>4. Обоснование (расчет)) расходов на безвозмездные перечисления организациям</t>
  </si>
  <si>
    <t>6. Обоснование (расчет) расходов на закупку товаров, работ, услуг</t>
  </si>
  <si>
    <t>6.1. Обоснование (расчет) расходов на оплату услуг связи</t>
  </si>
  <si>
    <t>*Рассчитывается путем умножения значений показателей в графах 3,4,5</t>
  </si>
  <si>
    <t>Источник финансового обеспечения внебюджет</t>
  </si>
  <si>
    <t>*Рассчитывается путем умножения значений показателей в графах 3 и 4</t>
  </si>
  <si>
    <t>6.2. Обоснование (расчет) расходов на оплату транспортных услуг</t>
  </si>
  <si>
    <t>6.3. Обоснование (расчет) расходов на оплату коммунальных услуг</t>
  </si>
  <si>
    <t>6.4. Обоснование (расчет) расходов на оплату аренды имущества</t>
  </si>
  <si>
    <t>Количество работ (услуг)</t>
  </si>
  <si>
    <t>6.5. Обоснование (расчет) расходов на оплату работ, услуг по содержанию имущества</t>
  </si>
  <si>
    <t>6.6. Обоснование (расчет) расходов на оплату прочих работ, услуг</t>
  </si>
  <si>
    <t>6.7. Обоснование (расчет)расходов на приобретение основных средств, увеличение стоимости прочих материальных запасов однократного применения, увеличение стоимости прочих оборотных запасов</t>
  </si>
  <si>
    <t>*Рассчитывается путем умножения значений показателей в графах 2 и 3.</t>
  </si>
  <si>
    <t>Остаток средств на начало текущего финансового года</t>
  </si>
  <si>
    <t>мес.</t>
  </si>
  <si>
    <t>Средства, полученные от возмещения коммунальных услуг</t>
  </si>
  <si>
    <t>Средства, полученные от аренды</t>
  </si>
  <si>
    <t>Субсидия за счет средств межбюджетных трансфертов на организацию питания в муниципальных общеобразовательных учреждениях</t>
  </si>
  <si>
    <t>организация питания в МОУ</t>
  </si>
  <si>
    <t>1.4.</t>
  </si>
  <si>
    <t>1.5.</t>
  </si>
  <si>
    <t>1.6.</t>
  </si>
  <si>
    <t>1.7.</t>
  </si>
  <si>
    <t>1.8.</t>
  </si>
  <si>
    <t>«Реализация основных общеобразовательных программ начального общего образования» по образовательным программам: начального общего образования, в форме обучения: очной, обучению на дому</t>
  </si>
  <si>
    <t>«Реализация основных общеобразовательных программ начального общего образования» по образовательным программам: адаптированной образовательной программе начального общего образования в форме обучения: очная для детей с умственной отсталостью (дети с ОВЗ и дети-инвалиды)</t>
  </si>
  <si>
    <t>«Реализация основных общеобразовательных программ начального общего образования»  по образовательным программам: начального общего образования,  образовательная программа, обеспечивающая углубленное изучение отдельных учебных предметов, предметных областей (профильное обучение), в форме обучения: очной, обучению на дому, для детей с ОВЗ и детей-инвалидов</t>
  </si>
  <si>
    <t>«Реализация основных общеобразовательных программ среднего общего образования» по образовательным программам:
образовательная программа, обеспечивающая углубленное изучение отдельных учебных предметов, предметных областей (профильное обучение) в форме обучения:  очной, обучению на дому</t>
  </si>
  <si>
    <t>«Реализация основных общеобразовательных программ среднего общего образования» по образовательным программам:
образовательная программа, обеспечивающая углубленное изучение отдельных учебных предметов, предметных областей (профильное обучение) в форме обучения:  очной, обучению на дому, для детей с ОВЗ и детей-инвалидов</t>
  </si>
  <si>
    <t>«Реализация дополнительных общеразвивающих программ»  по технической, естественнонаучной, физкультурно-спортивной, художественной, туристско-краеведческой, социально-педагогической направленности, за исключением детей в ОВЗ и детей -инвалидов</t>
  </si>
  <si>
    <t>чел.</t>
  </si>
  <si>
    <t>*Рассчитывается путем сложения граф 2+3*12+4+6=7</t>
  </si>
  <si>
    <t>Курсы повышения квалификации</t>
  </si>
  <si>
    <t>Всего по Плану финансово-хозяйственной деятельности за счет (указать источник финансирования и сумму в рублях).</t>
  </si>
  <si>
    <t>Субсидия за счет средств межбюджетных трансфертов на обеспечение бесплатного проезда детей</t>
  </si>
  <si>
    <t>обеспечение бесплатного проезда детей</t>
  </si>
  <si>
    <t>Доходы от операций с активами</t>
  </si>
  <si>
    <t>Проезд детей</t>
  </si>
  <si>
    <t>Код видов расходов 851,853</t>
  </si>
  <si>
    <t>Уплата штрафов, пеней, иных платежей</t>
  </si>
  <si>
    <t>доход, полученный от реализации активов</t>
  </si>
  <si>
    <t>Исполнитель___________Вырыпаева Я.П.</t>
  </si>
  <si>
    <t>Увеличение остатков денежных средств за счет возврата дебиторской задолженности прошлых лет</t>
  </si>
  <si>
    <t>Налог на имущество</t>
  </si>
  <si>
    <t>Обслуживание СКУД</t>
  </si>
  <si>
    <t>ТО АПК</t>
  </si>
  <si>
    <t>ТО тревожной сигнализации</t>
  </si>
  <si>
    <t>Комплексное обслуживание ИТП и УКУТ</t>
  </si>
  <si>
    <t xml:space="preserve">Обслуживание систем вентиляции </t>
  </si>
  <si>
    <t xml:space="preserve"> Тех. обслуживание АПС и ОПС</t>
  </si>
  <si>
    <t>Профосмотр</t>
  </si>
  <si>
    <t>Тревожная сигнализация (охрана)</t>
  </si>
  <si>
    <t>Школьная мебель, учебно-наглядные особия, учебники, стенды</t>
  </si>
  <si>
    <t>Бумага, картриджи, канц.товары, хим.реактивы</t>
  </si>
  <si>
    <t>Учебно-наглядные особия</t>
  </si>
  <si>
    <t>Пожертвования</t>
  </si>
  <si>
    <t>4200 руб.*12 мес.</t>
  </si>
  <si>
    <t>«Реализация основных общеобразовательных программ основного общего образования» по образовательным программам: основного общего образования, в форме обучения: очной, обучению на дому, заочной</t>
  </si>
  <si>
    <t>«Реализация основных общеобразовательных программ основного общего образования» по образовательным программам: адаптированной образовательной программе основного общего образования в форме обучения: очная для детей с умственной отсталостью (дети с ОВЗ и дети-инвалиды)</t>
  </si>
  <si>
    <t>Английский язык 1 класс</t>
  </si>
  <si>
    <t>"Изобразительная студия"</t>
  </si>
  <si>
    <t>"Основы философии" 11 кл</t>
  </si>
  <si>
    <t>Академия развития</t>
  </si>
  <si>
    <t>Звукознайка</t>
  </si>
  <si>
    <t>Бальные танцы "Жемчужина Урала"</t>
  </si>
  <si>
    <t>"Лингвистические казусы"</t>
  </si>
  <si>
    <t>Танцевальная студия "Капель"</t>
  </si>
  <si>
    <t>Робототехника</t>
  </si>
  <si>
    <t>Математическая логика 9 кл.</t>
  </si>
  <si>
    <t>«Сложные вопросы обществознания» 9 кл.</t>
  </si>
  <si>
    <t>Спортивная секция "Каратэ"</t>
  </si>
  <si>
    <t>Спортивная секция "Кунг-Фу"</t>
  </si>
  <si>
    <t>"Счастливый английский"</t>
  </si>
  <si>
    <t>Интуитивная живопись</t>
  </si>
  <si>
    <t>Занимательная география</t>
  </si>
  <si>
    <t>5 чел.1200,00 руб.-8,4 мес.</t>
  </si>
  <si>
    <t>19 чел.972,63 руб*7,9 мес.</t>
  </si>
  <si>
    <t>6 чел.2080,00 руб.*8,5 мес.</t>
  </si>
  <si>
    <t>8 чел.1120,00 руб.*8,1 мес</t>
  </si>
  <si>
    <t>20 чел.1036,00 руб*7,9 мес</t>
  </si>
  <si>
    <t>11 чел.1563,64*8,4 мес</t>
  </si>
  <si>
    <t>10 чел.1800,00 руб*8,9 мес.</t>
  </si>
  <si>
    <t>9 чел.1200,00 руб.*8,8 мес.</t>
  </si>
  <si>
    <t>11 чел.1120,00 руб.*8,4 мес.</t>
  </si>
  <si>
    <t>24 чел.666,67 руб*8 мес</t>
  </si>
  <si>
    <t>8 чел.910,00 руб.*7 мес</t>
  </si>
  <si>
    <t>10 чел. 3220,00 руб*8,5 мес.</t>
  </si>
  <si>
    <t>5 чел.2800,00 руб*8,9 мес</t>
  </si>
  <si>
    <t>12 чел.1026,67 руб*7,8 мес</t>
  </si>
  <si>
    <t>15 чел.1120,00 руб.*8,5 мес</t>
  </si>
  <si>
    <t>11 чел.1360,00 руб*8,5 мес.</t>
  </si>
  <si>
    <t>Прочие договора</t>
  </si>
  <si>
    <t>ремонт помещения (кабинет хореографии</t>
  </si>
  <si>
    <t>прочие договора</t>
  </si>
  <si>
    <t>психиатрическое освидетельствование</t>
  </si>
  <si>
    <t>Неисключительные лицензии(учебные расходы)</t>
  </si>
  <si>
    <t>Прочие договора(учебные расходы)</t>
  </si>
  <si>
    <t>Регистрационный взнос за участие в выставке</t>
  </si>
  <si>
    <t>камеральная подготовка учетно-технической документации</t>
  </si>
  <si>
    <t>доходы от операций с активами</t>
  </si>
  <si>
    <t>Компенсация питания</t>
  </si>
  <si>
    <t>Лицензия  СКЗИ "криптоПро CSP"</t>
  </si>
  <si>
    <t>средства полученные от аренды</t>
  </si>
  <si>
    <t>хоз. Товары</t>
  </si>
  <si>
    <t>реализация имущества</t>
  </si>
  <si>
    <t>МАОУ СОШ № 93 на 30.09.2020</t>
  </si>
  <si>
    <t>320067,53руб. *9 мес.</t>
  </si>
  <si>
    <t>Муниципальная программа "Безопасность жизнедеятельности населения", подпрограмма "Защита населения и территорий муниципального образования "город Екатеринбург" от пожаров, аварий, катастроф, стихийных бедствий и совершенствование гражданской обороны"</t>
  </si>
  <si>
    <t>На внедрение и сопровождение АИС "Питание"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</si>
  <si>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</t>
  </si>
  <si>
    <t>Выплаты ежемесячного денежного вознаграждения за классное руководство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</si>
  <si>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</si>
  <si>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Безопасность жизнедеятельности населения</t>
  </si>
  <si>
    <t>сопровождение АИС "Питание</t>
  </si>
  <si>
    <t>вознаграждения за классное руководство</t>
  </si>
  <si>
    <t>Приобретение устройств (средств) дезинфекции</t>
  </si>
  <si>
    <t>309750,00руб. *4 мес.</t>
  </si>
  <si>
    <t>232081,50руб. *4 мес.</t>
  </si>
  <si>
    <t>Целевая субсидия</t>
  </si>
  <si>
    <t>педагогические работники, участвующие в образовательном процессе</t>
  </si>
  <si>
    <t>Фонд оплаты труда , руб.</t>
  </si>
  <si>
    <t>Огнезащитная обработка деревянных конструкций.</t>
  </si>
  <si>
    <t>За облуч,рецир.,аппар. для дезинф., термом</t>
  </si>
  <si>
    <t>Электронный носитель информации</t>
  </si>
  <si>
    <t>За дозаторы локт.,кожный антисептик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</si>
</sst>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u/>
      <sz val="14"/>
      <name val="Liberation Serif"/>
      <family val="1"/>
      <charset val="204"/>
    </font>
    <font>
      <sz val="14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2" fillId="2" borderId="20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vertical="top" wrapText="1"/>
    </xf>
    <xf numFmtId="4" fontId="2" fillId="2" borderId="6" xfId="0" applyNumberFormat="1" applyFont="1" applyFill="1" applyBorder="1" applyAlignment="1">
      <alignment vertical="top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4" fontId="2" fillId="2" borderId="0" xfId="0" applyNumberFormat="1" applyFont="1" applyFill="1" applyAlignment="1">
      <alignment wrapText="1"/>
    </xf>
    <xf numFmtId="0" fontId="2" fillId="2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top" wrapText="1"/>
    </xf>
    <xf numFmtId="4" fontId="2" fillId="2" borderId="0" xfId="0" applyNumberFormat="1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20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2" fillId="2" borderId="20" xfId="0" applyNumberFormat="1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1" fillId="2" borderId="20" xfId="0" applyNumberFormat="1" applyFont="1" applyFill="1" applyBorder="1" applyAlignment="1">
      <alignment wrapText="1"/>
    </xf>
    <xf numFmtId="0" fontId="2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4" fontId="1" fillId="2" borderId="29" xfId="0" applyNumberFormat="1" applyFont="1" applyFill="1" applyBorder="1" applyAlignment="1">
      <alignment horizontal="center" vertical="center" wrapText="1"/>
    </xf>
    <xf numFmtId="4" fontId="1" fillId="2" borderId="30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wrapText="1"/>
    </xf>
    <xf numFmtId="4" fontId="1" fillId="2" borderId="26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4" fontId="1" fillId="2" borderId="35" xfId="0" applyNumberFormat="1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wrapText="1"/>
    </xf>
    <xf numFmtId="0" fontId="1" fillId="2" borderId="29" xfId="0" applyFont="1" applyFill="1" applyBorder="1" applyAlignment="1">
      <alignment horizontal="center" wrapText="1"/>
    </xf>
    <xf numFmtId="4" fontId="2" fillId="2" borderId="30" xfId="0" applyNumberFormat="1" applyFont="1" applyFill="1" applyBorder="1" applyAlignment="1">
      <alignment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16" fontId="2" fillId="2" borderId="40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wrapText="1"/>
    </xf>
    <xf numFmtId="0" fontId="1" fillId="2" borderId="44" xfId="0" applyFont="1" applyFill="1" applyBorder="1" applyAlignment="1">
      <alignment horizontal="center" wrapText="1"/>
    </xf>
    <xf numFmtId="4" fontId="2" fillId="2" borderId="45" xfId="0" applyNumberFormat="1" applyFont="1" applyFill="1" applyBorder="1" applyAlignment="1">
      <alignment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2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wrapText="1"/>
    </xf>
    <xf numFmtId="0" fontId="1" fillId="2" borderId="30" xfId="0" applyFont="1" applyFill="1" applyBorder="1" applyAlignment="1">
      <alignment wrapText="1"/>
    </xf>
    <xf numFmtId="4" fontId="2" fillId="2" borderId="44" xfId="0" applyNumberFormat="1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2" borderId="44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horizontal="center" vertical="center" wrapText="1"/>
    </xf>
    <xf numFmtId="4" fontId="2" fillId="2" borderId="44" xfId="0" applyNumberFormat="1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center" vertical="center" wrapText="1"/>
    </xf>
    <xf numFmtId="4" fontId="2" fillId="2" borderId="34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52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vertical="center" wrapText="1"/>
    </xf>
    <xf numFmtId="0" fontId="2" fillId="2" borderId="45" xfId="0" applyFont="1" applyFill="1" applyBorder="1" applyAlignment="1">
      <alignment vertical="center" wrapText="1"/>
    </xf>
    <xf numFmtId="0" fontId="2" fillId="2" borderId="47" xfId="0" applyFont="1" applyFill="1" applyBorder="1" applyAlignment="1">
      <alignment vertical="center" wrapText="1"/>
    </xf>
    <xf numFmtId="0" fontId="2" fillId="2" borderId="48" xfId="0" applyFont="1" applyFill="1" applyBorder="1" applyAlignment="1">
      <alignment horizontal="center" vertical="center" wrapText="1"/>
    </xf>
    <xf numFmtId="4" fontId="2" fillId="2" borderId="48" xfId="0" applyNumberFormat="1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vertical="top" wrapText="1"/>
    </xf>
    <xf numFmtId="2" fontId="2" fillId="2" borderId="3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wrapText="1"/>
    </xf>
    <xf numFmtId="4" fontId="1" fillId="2" borderId="42" xfId="0" applyNumberFormat="1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wrapText="1"/>
    </xf>
    <xf numFmtId="4" fontId="1" fillId="2" borderId="43" xfId="0" applyNumberFormat="1" applyFont="1" applyFill="1" applyBorder="1" applyAlignment="1">
      <alignment wrapText="1"/>
    </xf>
    <xf numFmtId="4" fontId="1" fillId="2" borderId="3" xfId="0" applyNumberFormat="1" applyFont="1" applyFill="1" applyBorder="1" applyAlignment="1">
      <alignment vertical="center" wrapText="1"/>
    </xf>
    <xf numFmtId="0" fontId="2" fillId="2" borderId="44" xfId="0" applyFont="1" applyFill="1" applyBorder="1" applyAlignment="1">
      <alignment horizontal="left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vertical="center" wrapText="1"/>
    </xf>
    <xf numFmtId="164" fontId="2" fillId="2" borderId="34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vertical="center" wrapText="1"/>
    </xf>
    <xf numFmtId="4" fontId="2" fillId="2" borderId="2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4" fontId="2" fillId="2" borderId="44" xfId="0" applyNumberFormat="1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4" fontId="1" fillId="2" borderId="54" xfId="0" applyNumberFormat="1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2" fillId="2" borderId="44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4" fontId="2" fillId="2" borderId="34" xfId="0" applyNumberFormat="1" applyFont="1" applyFill="1" applyBorder="1" applyAlignment="1">
      <alignment wrapText="1"/>
    </xf>
    <xf numFmtId="0" fontId="2" fillId="2" borderId="35" xfId="0" applyFont="1" applyFill="1" applyBorder="1" applyAlignment="1">
      <alignment wrapText="1"/>
    </xf>
    <xf numFmtId="2" fontId="2" fillId="2" borderId="34" xfId="0" applyNumberFormat="1" applyFont="1" applyFill="1" applyBorder="1" applyAlignment="1">
      <alignment wrapText="1"/>
    </xf>
    <xf numFmtId="2" fontId="2" fillId="2" borderId="44" xfId="0" applyNumberFormat="1" applyFont="1" applyFill="1" applyBorder="1" applyAlignment="1">
      <alignment wrapText="1"/>
    </xf>
    <xf numFmtId="4" fontId="2" fillId="2" borderId="45" xfId="0" applyNumberFormat="1" applyFont="1" applyFill="1" applyBorder="1" applyAlignment="1">
      <alignment horizontal="center" vertical="center" wrapText="1"/>
    </xf>
    <xf numFmtId="4" fontId="1" fillId="2" borderId="4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wrapText="1"/>
    </xf>
    <xf numFmtId="0" fontId="1" fillId="2" borderId="53" xfId="0" applyFont="1" applyFill="1" applyBorder="1" applyAlignment="1">
      <alignment horizontal="center" vertical="center" wrapText="1"/>
    </xf>
    <xf numFmtId="4" fontId="1" fillId="2" borderId="37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left" wrapText="1"/>
    </xf>
    <xf numFmtId="0" fontId="2" fillId="2" borderId="57" xfId="0" applyFont="1" applyFill="1" applyBorder="1" applyAlignment="1">
      <alignment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left" vertical="center" wrapText="1"/>
    </xf>
    <xf numFmtId="4" fontId="2" fillId="2" borderId="54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2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53" xfId="0" applyFont="1" applyFill="1" applyBorder="1" applyAlignment="1">
      <alignment vertical="center" wrapText="1"/>
    </xf>
    <xf numFmtId="0" fontId="1" fillId="2" borderId="54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2" borderId="43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/>
    </xf>
    <xf numFmtId="0" fontId="2" fillId="2" borderId="3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56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5"/>
  <sheetViews>
    <sheetView tabSelected="1" view="pageBreakPreview" zoomScale="70" zoomScaleNormal="80" zoomScaleSheetLayoutView="70" workbookViewId="0">
      <selection activeCell="F380" sqref="F380"/>
    </sheetView>
  </sheetViews>
  <sheetFormatPr defaultRowHeight="18" x14ac:dyDescent="0.25"/>
  <cols>
    <col min="1" max="1" width="29.28515625" style="10" customWidth="1"/>
    <col min="2" max="2" width="53.5703125" style="10" customWidth="1"/>
    <col min="3" max="3" width="31.140625" style="10" customWidth="1"/>
    <col min="4" max="4" width="34.140625" style="10" customWidth="1"/>
    <col min="5" max="8" width="29.28515625" style="10" customWidth="1"/>
    <col min="9" max="9" width="29.28515625" style="10" hidden="1" customWidth="1"/>
    <col min="10" max="10" width="11.42578125" style="10" hidden="1" customWidth="1"/>
    <col min="11" max="11" width="16.28515625" style="10" hidden="1" customWidth="1"/>
    <col min="12" max="12" width="14.5703125" style="10" hidden="1" customWidth="1"/>
    <col min="13" max="13" width="17.28515625" style="10" hidden="1" customWidth="1"/>
    <col min="14" max="14" width="16" style="10" hidden="1" customWidth="1"/>
    <col min="15" max="16" width="13.28515625" style="10" hidden="1" customWidth="1"/>
    <col min="17" max="17" width="20" style="10" customWidth="1"/>
    <col min="18" max="18" width="21.5703125" style="10" customWidth="1"/>
    <col min="19" max="31" width="9.140625" style="10" customWidth="1"/>
    <col min="32" max="32" width="13.42578125" style="10" bestFit="1" customWidth="1"/>
    <col min="33" max="33" width="11.42578125" style="10" customWidth="1"/>
    <col min="34" max="16384" width="9.140625" style="10"/>
  </cols>
  <sheetData>
    <row r="1" spans="1:18" ht="39.75" customHeight="1" x14ac:dyDescent="0.25">
      <c r="A1" s="164" t="s">
        <v>114</v>
      </c>
      <c r="B1" s="164"/>
      <c r="C1" s="164"/>
      <c r="D1" s="164"/>
      <c r="E1" s="164"/>
      <c r="F1" s="164"/>
      <c r="G1" s="164"/>
    </row>
    <row r="2" spans="1:18" x14ac:dyDescent="0.25">
      <c r="A2" s="1"/>
      <c r="C2" s="165" t="s">
        <v>257</v>
      </c>
      <c r="D2" s="165"/>
    </row>
    <row r="3" spans="1:18" x14ac:dyDescent="0.25">
      <c r="A3" s="1"/>
      <c r="C3" s="2"/>
      <c r="D3" s="2"/>
    </row>
    <row r="4" spans="1:18" ht="54" x14ac:dyDescent="0.25">
      <c r="A4" s="134" t="s">
        <v>165</v>
      </c>
      <c r="B4" s="41">
        <v>467010.41</v>
      </c>
      <c r="C4" s="2"/>
      <c r="D4" s="2"/>
      <c r="R4" s="28">
        <f>60958303.32-F16-E30-F47-F54-D77-B5</f>
        <v>6414632.8090000125</v>
      </c>
    </row>
    <row r="5" spans="1:18" ht="108" x14ac:dyDescent="0.25">
      <c r="A5" s="134" t="s">
        <v>194</v>
      </c>
      <c r="B5" s="41">
        <v>0</v>
      </c>
      <c r="C5" s="144"/>
      <c r="D5" s="144"/>
    </row>
    <row r="6" spans="1:18" x14ac:dyDescent="0.25">
      <c r="A6" s="148"/>
      <c r="B6" s="149"/>
      <c r="C6" s="144"/>
      <c r="D6" s="144"/>
    </row>
    <row r="7" spans="1:18" x14ac:dyDescent="0.25">
      <c r="A7" s="1"/>
      <c r="C7" s="2"/>
      <c r="D7" s="3" t="s">
        <v>115</v>
      </c>
    </row>
    <row r="8" spans="1:18" x14ac:dyDescent="0.25">
      <c r="A8" s="1"/>
      <c r="C8" s="2"/>
      <c r="D8" s="2" t="s">
        <v>116</v>
      </c>
    </row>
    <row r="9" spans="1:18" x14ac:dyDescent="0.25">
      <c r="A9" s="1"/>
      <c r="C9" s="2"/>
      <c r="D9" s="2"/>
    </row>
    <row r="10" spans="1:18" x14ac:dyDescent="0.25">
      <c r="A10" s="1"/>
      <c r="C10" s="2"/>
      <c r="D10" s="4" t="s">
        <v>117</v>
      </c>
    </row>
    <row r="11" spans="1:18" ht="18.75" thickBot="1" x14ac:dyDescent="0.3">
      <c r="A11" s="1"/>
      <c r="C11" s="2"/>
      <c r="D11" s="4"/>
    </row>
    <row r="12" spans="1:18" ht="36.75" thickBot="1" x14ac:dyDescent="0.3">
      <c r="A12" s="74" t="s">
        <v>13</v>
      </c>
      <c r="B12" s="75" t="s">
        <v>118</v>
      </c>
      <c r="C12" s="75" t="s">
        <v>119</v>
      </c>
      <c r="D12" s="75" t="s">
        <v>80</v>
      </c>
      <c r="E12" s="75" t="s">
        <v>120</v>
      </c>
      <c r="F12" s="75" t="s">
        <v>92</v>
      </c>
      <c r="G12" s="76" t="s">
        <v>66</v>
      </c>
    </row>
    <row r="13" spans="1:18" ht="18.75" thickBot="1" x14ac:dyDescent="0.3">
      <c r="A13" s="65">
        <v>1</v>
      </c>
      <c r="B13" s="66">
        <v>2</v>
      </c>
      <c r="C13" s="66">
        <v>3</v>
      </c>
      <c r="D13" s="66">
        <v>4</v>
      </c>
      <c r="E13" s="66">
        <v>5</v>
      </c>
      <c r="F13" s="66">
        <v>6</v>
      </c>
      <c r="G13" s="67">
        <v>7</v>
      </c>
    </row>
    <row r="14" spans="1:18" x14ac:dyDescent="0.25">
      <c r="A14" s="80">
        <v>1</v>
      </c>
      <c r="B14" s="69" t="s">
        <v>168</v>
      </c>
      <c r="C14" s="6" t="s">
        <v>166</v>
      </c>
      <c r="D14" s="135">
        <v>12</v>
      </c>
      <c r="E14" s="140">
        <f>F14/D14</f>
        <v>10149.5</v>
      </c>
      <c r="F14" s="83">
        <v>121794</v>
      </c>
      <c r="G14" s="81"/>
    </row>
    <row r="15" spans="1:18" ht="33.75" customHeight="1" x14ac:dyDescent="0.25">
      <c r="A15" s="7">
        <v>2</v>
      </c>
      <c r="B15" s="11" t="s">
        <v>167</v>
      </c>
      <c r="C15" s="6" t="s">
        <v>166</v>
      </c>
      <c r="D15" s="136">
        <v>12</v>
      </c>
      <c r="E15" s="139">
        <f>F15/D15</f>
        <v>54916.666666666664</v>
      </c>
      <c r="F15" s="137">
        <v>659000</v>
      </c>
      <c r="G15" s="138"/>
    </row>
    <row r="16" spans="1:18" ht="18.75" thickBot="1" x14ac:dyDescent="0.3">
      <c r="A16" s="166" t="s">
        <v>123</v>
      </c>
      <c r="B16" s="167"/>
      <c r="C16" s="49" t="s">
        <v>20</v>
      </c>
      <c r="D16" s="49" t="s">
        <v>20</v>
      </c>
      <c r="E16" s="49" t="s">
        <v>20</v>
      </c>
      <c r="F16" s="50">
        <f>SUM(F14:F15)</f>
        <v>780794</v>
      </c>
      <c r="G16" s="82"/>
    </row>
    <row r="17" spans="1:17" x14ac:dyDescent="0.25">
      <c r="A17" s="1"/>
      <c r="C17" s="2"/>
      <c r="D17" s="2"/>
    </row>
    <row r="18" spans="1:17" x14ac:dyDescent="0.25">
      <c r="A18" s="1"/>
      <c r="D18" s="4" t="s">
        <v>122</v>
      </c>
    </row>
    <row r="19" spans="1:17" ht="18.75" thickBot="1" x14ac:dyDescent="0.3">
      <c r="A19" s="1"/>
      <c r="C19" s="2"/>
      <c r="D19" s="2"/>
    </row>
    <row r="20" spans="1:17" ht="54.75" thickBot="1" x14ac:dyDescent="0.3">
      <c r="A20" s="74" t="s">
        <v>13</v>
      </c>
      <c r="B20" s="75" t="s">
        <v>124</v>
      </c>
      <c r="C20" s="75" t="s">
        <v>125</v>
      </c>
      <c r="D20" s="75" t="s">
        <v>126</v>
      </c>
      <c r="E20" s="76" t="s">
        <v>92</v>
      </c>
    </row>
    <row r="21" spans="1:17" ht="18.75" thickBot="1" x14ac:dyDescent="0.3">
      <c r="A21" s="65">
        <v>1</v>
      </c>
      <c r="B21" s="66">
        <v>2</v>
      </c>
      <c r="C21" s="66">
        <v>3</v>
      </c>
      <c r="D21" s="66">
        <v>4</v>
      </c>
      <c r="E21" s="67">
        <v>5</v>
      </c>
    </row>
    <row r="22" spans="1:17" ht="83.25" customHeight="1" x14ac:dyDescent="0.25">
      <c r="A22" s="80">
        <v>1</v>
      </c>
      <c r="B22" s="69" t="s">
        <v>169</v>
      </c>
      <c r="C22" s="135" t="s">
        <v>170</v>
      </c>
      <c r="D22" s="70" t="s">
        <v>258</v>
      </c>
      <c r="E22" s="141">
        <v>2880607.8</v>
      </c>
      <c r="Q22" s="10">
        <f>E22/9</f>
        <v>320067.53333333333</v>
      </c>
    </row>
    <row r="23" spans="1:17" ht="54" x14ac:dyDescent="0.25">
      <c r="A23" s="48">
        <v>2</v>
      </c>
      <c r="B23" s="69" t="s">
        <v>186</v>
      </c>
      <c r="C23" s="42" t="s">
        <v>187</v>
      </c>
      <c r="D23" s="6" t="s">
        <v>208</v>
      </c>
      <c r="E23" s="163">
        <v>50400</v>
      </c>
      <c r="Q23" s="10">
        <f t="shared" ref="Q23:Q27" si="0">E23/9</f>
        <v>5600</v>
      </c>
    </row>
    <row r="24" spans="1:17" ht="126" x14ac:dyDescent="0.25">
      <c r="A24" s="48"/>
      <c r="B24" s="69" t="s">
        <v>259</v>
      </c>
      <c r="C24" s="42" t="s">
        <v>264</v>
      </c>
      <c r="D24" s="6"/>
      <c r="E24" s="163">
        <v>180263</v>
      </c>
      <c r="Q24" s="10">
        <f t="shared" si="0"/>
        <v>20029.222222222223</v>
      </c>
    </row>
    <row r="25" spans="1:17" ht="54" x14ac:dyDescent="0.25">
      <c r="A25" s="48"/>
      <c r="B25" s="69" t="s">
        <v>260</v>
      </c>
      <c r="C25" s="42" t="s">
        <v>265</v>
      </c>
      <c r="D25" s="6"/>
      <c r="E25" s="163">
        <v>6640</v>
      </c>
      <c r="Q25" s="10">
        <f t="shared" si="0"/>
        <v>737.77777777777783</v>
      </c>
    </row>
    <row r="26" spans="1:17" ht="54" x14ac:dyDescent="0.25">
      <c r="A26" s="48"/>
      <c r="B26" s="69" t="s">
        <v>261</v>
      </c>
      <c r="C26" s="135" t="s">
        <v>170</v>
      </c>
      <c r="D26" s="70" t="s">
        <v>268</v>
      </c>
      <c r="E26" s="163">
        <v>1239000</v>
      </c>
      <c r="Q26" s="10">
        <f>E26/4</f>
        <v>309750</v>
      </c>
    </row>
    <row r="27" spans="1:17" ht="36" x14ac:dyDescent="0.25">
      <c r="A27" s="48"/>
      <c r="B27" s="69" t="s">
        <v>262</v>
      </c>
      <c r="C27" s="42" t="s">
        <v>266</v>
      </c>
      <c r="D27" s="70" t="s">
        <v>269</v>
      </c>
      <c r="E27" s="163">
        <v>928326</v>
      </c>
      <c r="Q27" s="10">
        <f>E27/4</f>
        <v>232081.5</v>
      </c>
    </row>
    <row r="28" spans="1:17" ht="108" x14ac:dyDescent="0.25">
      <c r="A28" s="48"/>
      <c r="B28" s="69" t="s">
        <v>263</v>
      </c>
      <c r="C28" s="42" t="s">
        <v>267</v>
      </c>
      <c r="D28" s="6"/>
      <c r="E28" s="163">
        <v>388900</v>
      </c>
    </row>
    <row r="29" spans="1:17" x14ac:dyDescent="0.25">
      <c r="A29" s="48"/>
      <c r="B29" s="11"/>
      <c r="C29" s="42"/>
      <c r="D29" s="6"/>
      <c r="E29" s="163"/>
    </row>
    <row r="30" spans="1:17" x14ac:dyDescent="0.25">
      <c r="A30" s="168" t="s">
        <v>123</v>
      </c>
      <c r="B30" s="169"/>
      <c r="C30" s="5" t="s">
        <v>20</v>
      </c>
      <c r="D30" s="5" t="s">
        <v>20</v>
      </c>
      <c r="E30" s="53">
        <f>SUM(E22:E29)</f>
        <v>5674136.7999999998</v>
      </c>
    </row>
    <row r="31" spans="1:17" ht="18.75" thickBot="1" x14ac:dyDescent="0.3">
      <c r="A31" s="170" t="s">
        <v>127</v>
      </c>
      <c r="B31" s="171"/>
      <c r="C31" s="171"/>
      <c r="D31" s="171"/>
      <c r="E31" s="172"/>
    </row>
    <row r="32" spans="1:17" x14ac:dyDescent="0.25">
      <c r="A32" s="1"/>
      <c r="C32" s="2"/>
      <c r="D32" s="2"/>
    </row>
    <row r="33" spans="1:6" x14ac:dyDescent="0.25">
      <c r="A33" s="1"/>
      <c r="D33" s="4" t="s">
        <v>128</v>
      </c>
    </row>
    <row r="34" spans="1:6" ht="18.75" thickBot="1" x14ac:dyDescent="0.3">
      <c r="A34" s="1"/>
      <c r="C34" s="2"/>
      <c r="D34" s="2"/>
    </row>
    <row r="35" spans="1:6" ht="36.75" thickBot="1" x14ac:dyDescent="0.3">
      <c r="A35" s="74" t="s">
        <v>13</v>
      </c>
      <c r="B35" s="75" t="s">
        <v>129</v>
      </c>
      <c r="C35" s="75" t="s">
        <v>119</v>
      </c>
      <c r="D35" s="75" t="s">
        <v>130</v>
      </c>
      <c r="E35" s="75" t="s">
        <v>131</v>
      </c>
      <c r="F35" s="76" t="s">
        <v>92</v>
      </c>
    </row>
    <row r="36" spans="1:6" ht="18.75" thickBot="1" x14ac:dyDescent="0.3">
      <c r="A36" s="77">
        <v>1</v>
      </c>
      <c r="B36" s="78">
        <v>2</v>
      </c>
      <c r="C36" s="78">
        <v>3</v>
      </c>
      <c r="D36" s="78">
        <v>4</v>
      </c>
      <c r="E36" s="78">
        <v>5</v>
      </c>
      <c r="F36" s="79">
        <v>6</v>
      </c>
    </row>
    <row r="37" spans="1:6" ht="18" customHeight="1" thickBot="1" x14ac:dyDescent="0.3">
      <c r="A37" s="65">
        <v>1</v>
      </c>
      <c r="B37" s="175" t="s">
        <v>132</v>
      </c>
      <c r="C37" s="176"/>
      <c r="D37" s="176"/>
      <c r="E37" s="176"/>
      <c r="F37" s="177"/>
    </row>
    <row r="38" spans="1:6" ht="108" x14ac:dyDescent="0.25">
      <c r="A38" s="80" t="s">
        <v>33</v>
      </c>
      <c r="B38" s="69" t="s">
        <v>176</v>
      </c>
      <c r="C38" s="135" t="s">
        <v>182</v>
      </c>
      <c r="D38" s="135">
        <v>322</v>
      </c>
      <c r="E38" s="83">
        <v>33715.99</v>
      </c>
      <c r="F38" s="71">
        <v>17005796.332735881</v>
      </c>
    </row>
    <row r="39" spans="1:6" ht="162" x14ac:dyDescent="0.25">
      <c r="A39" s="48" t="s">
        <v>35</v>
      </c>
      <c r="B39" s="11" t="s">
        <v>177</v>
      </c>
      <c r="C39" s="135" t="s">
        <v>182</v>
      </c>
      <c r="D39" s="42">
        <v>14</v>
      </c>
      <c r="E39" s="83">
        <v>36912.29</v>
      </c>
      <c r="F39" s="71">
        <v>739382.44924938609</v>
      </c>
    </row>
    <row r="40" spans="1:6" ht="198" x14ac:dyDescent="0.25">
      <c r="A40" s="48" t="s">
        <v>37</v>
      </c>
      <c r="B40" s="11" t="s">
        <v>178</v>
      </c>
      <c r="C40" s="135" t="s">
        <v>182</v>
      </c>
      <c r="D40" s="42">
        <v>2</v>
      </c>
      <c r="E40" s="83">
        <v>39788.959999999999</v>
      </c>
      <c r="F40" s="71">
        <v>105626.06417848375</v>
      </c>
    </row>
    <row r="41" spans="1:6" ht="108" x14ac:dyDescent="0.25">
      <c r="A41" s="48" t="s">
        <v>171</v>
      </c>
      <c r="B41" s="11" t="s">
        <v>209</v>
      </c>
      <c r="C41" s="135" t="s">
        <v>182</v>
      </c>
      <c r="D41" s="42">
        <v>405</v>
      </c>
      <c r="E41" s="83">
        <v>32676.84</v>
      </c>
      <c r="F41" s="71">
        <v>21389277.996142957</v>
      </c>
    </row>
    <row r="42" spans="1:6" ht="162" x14ac:dyDescent="0.25">
      <c r="A42" s="48" t="s">
        <v>172</v>
      </c>
      <c r="B42" s="11" t="s">
        <v>210</v>
      </c>
      <c r="C42" s="135" t="s">
        <v>182</v>
      </c>
      <c r="D42" s="42">
        <v>9</v>
      </c>
      <c r="E42" s="83">
        <v>35665.31</v>
      </c>
      <c r="F42" s="71">
        <v>475317.28880317684</v>
      </c>
    </row>
    <row r="43" spans="1:6" ht="180" x14ac:dyDescent="0.25">
      <c r="A43" s="48" t="s">
        <v>173</v>
      </c>
      <c r="B43" s="11" t="s">
        <v>179</v>
      </c>
      <c r="C43" s="135" t="s">
        <v>182</v>
      </c>
      <c r="D43" s="42">
        <v>76</v>
      </c>
      <c r="E43" s="83">
        <v>36756.29</v>
      </c>
      <c r="F43" s="71">
        <v>4013790.4387823823</v>
      </c>
    </row>
    <row r="44" spans="1:6" ht="198" x14ac:dyDescent="0.25">
      <c r="A44" s="48" t="s">
        <v>174</v>
      </c>
      <c r="B44" s="11" t="s">
        <v>180</v>
      </c>
      <c r="C44" s="135" t="s">
        <v>182</v>
      </c>
      <c r="D44" s="42">
        <v>3</v>
      </c>
      <c r="E44" s="83">
        <v>40560.65</v>
      </c>
      <c r="F44" s="71">
        <v>158439.09626772563</v>
      </c>
    </row>
    <row r="45" spans="1:6" ht="144" x14ac:dyDescent="0.25">
      <c r="A45" s="48" t="s">
        <v>175</v>
      </c>
      <c r="B45" s="11" t="s">
        <v>181</v>
      </c>
      <c r="C45" s="135" t="s">
        <v>182</v>
      </c>
      <c r="D45" s="42">
        <v>6750</v>
      </c>
      <c r="E45" s="83">
        <v>123.7</v>
      </c>
      <c r="F45" s="71">
        <v>2212821.6638400001</v>
      </c>
    </row>
    <row r="46" spans="1:6" hidden="1" x14ac:dyDescent="0.25">
      <c r="A46" s="48"/>
      <c r="B46" s="11"/>
      <c r="C46" s="6"/>
      <c r="D46" s="6"/>
      <c r="E46" s="11"/>
      <c r="F46" s="52"/>
    </row>
    <row r="47" spans="1:6" ht="18.75" thickBot="1" x14ac:dyDescent="0.3">
      <c r="A47" s="173" t="s">
        <v>123</v>
      </c>
      <c r="B47" s="174"/>
      <c r="C47" s="54" t="s">
        <v>20</v>
      </c>
      <c r="D47" s="54" t="s">
        <v>20</v>
      </c>
      <c r="E47" s="54" t="s">
        <v>20</v>
      </c>
      <c r="F47" s="55">
        <f>SUM(F38:F46)</f>
        <v>46100451.329999991</v>
      </c>
    </row>
    <row r="48" spans="1:6" ht="18.75" thickBot="1" x14ac:dyDescent="0.3">
      <c r="A48" s="65">
        <v>1</v>
      </c>
      <c r="B48" s="66">
        <v>2</v>
      </c>
      <c r="C48" s="66">
        <v>3</v>
      </c>
      <c r="D48" s="66">
        <v>4</v>
      </c>
      <c r="E48" s="66">
        <v>5</v>
      </c>
      <c r="F48" s="67">
        <v>6</v>
      </c>
    </row>
    <row r="49" spans="1:6" ht="18.75" hidden="1" thickBot="1" x14ac:dyDescent="0.3">
      <c r="A49" s="65">
        <v>2</v>
      </c>
      <c r="B49" s="175" t="s">
        <v>133</v>
      </c>
      <c r="C49" s="176"/>
      <c r="D49" s="176"/>
      <c r="E49" s="176"/>
      <c r="F49" s="177"/>
    </row>
    <row r="50" spans="1:6" hidden="1" x14ac:dyDescent="0.25">
      <c r="A50" s="68" t="s">
        <v>40</v>
      </c>
      <c r="B50" s="69" t="s">
        <v>188</v>
      </c>
      <c r="C50" s="70"/>
      <c r="D50" s="70"/>
      <c r="E50" s="69"/>
      <c r="F50" s="71">
        <v>0</v>
      </c>
    </row>
    <row r="51" spans="1:6" hidden="1" x14ac:dyDescent="0.25">
      <c r="A51" s="48" t="s">
        <v>42</v>
      </c>
      <c r="B51" s="11"/>
      <c r="C51" s="6"/>
      <c r="D51" s="6"/>
      <c r="E51" s="11"/>
      <c r="F51" s="52"/>
    </row>
    <row r="52" spans="1:6" hidden="1" x14ac:dyDescent="0.25">
      <c r="A52" s="48" t="s">
        <v>44</v>
      </c>
      <c r="B52" s="11"/>
      <c r="C52" s="6"/>
      <c r="D52" s="6"/>
      <c r="E52" s="11"/>
      <c r="F52" s="52"/>
    </row>
    <row r="53" spans="1:6" ht="18.75" hidden="1" thickBot="1" x14ac:dyDescent="0.3">
      <c r="A53" s="60"/>
      <c r="B53" s="61"/>
      <c r="C53" s="62"/>
      <c r="D53" s="62"/>
      <c r="E53" s="61"/>
      <c r="F53" s="63"/>
    </row>
    <row r="54" spans="1:6" ht="18.75" hidden="1" thickBot="1" x14ac:dyDescent="0.3">
      <c r="A54" s="178" t="s">
        <v>123</v>
      </c>
      <c r="B54" s="179"/>
      <c r="C54" s="56" t="s">
        <v>20</v>
      </c>
      <c r="D54" s="56" t="s">
        <v>20</v>
      </c>
      <c r="E54" s="56" t="s">
        <v>20</v>
      </c>
      <c r="F54" s="57">
        <f>SUM(F49:F53)</f>
        <v>0</v>
      </c>
    </row>
    <row r="55" spans="1:6" x14ac:dyDescent="0.25">
      <c r="A55" s="1"/>
      <c r="C55" s="2"/>
      <c r="D55" s="2"/>
    </row>
    <row r="56" spans="1:6" x14ac:dyDescent="0.25">
      <c r="A56" s="1"/>
      <c r="D56" s="4" t="s">
        <v>134</v>
      </c>
    </row>
    <row r="57" spans="1:6" ht="18.75" thickBot="1" x14ac:dyDescent="0.3">
      <c r="A57" s="1"/>
      <c r="D57" s="4"/>
    </row>
    <row r="58" spans="1:6" ht="18.75" thickBot="1" x14ac:dyDescent="0.3">
      <c r="A58" s="74" t="s">
        <v>13</v>
      </c>
      <c r="B58" s="75" t="s">
        <v>135</v>
      </c>
      <c r="C58" s="75" t="s">
        <v>136</v>
      </c>
      <c r="D58" s="75" t="s">
        <v>92</v>
      </c>
      <c r="E58" s="76" t="s">
        <v>66</v>
      </c>
    </row>
    <row r="59" spans="1:6" x14ac:dyDescent="0.25">
      <c r="A59" s="64">
        <v>1</v>
      </c>
      <c r="B59" s="72">
        <v>2</v>
      </c>
      <c r="C59" s="72">
        <v>3</v>
      </c>
      <c r="D59" s="72">
        <v>4</v>
      </c>
      <c r="E59" s="73">
        <v>5</v>
      </c>
    </row>
    <row r="60" spans="1:6" ht="36" x14ac:dyDescent="0.25">
      <c r="A60" s="80">
        <v>1</v>
      </c>
      <c r="B60" s="89" t="s">
        <v>214</v>
      </c>
      <c r="C60" s="89" t="s">
        <v>238</v>
      </c>
      <c r="D60" s="142">
        <f>10*3220*8.5</f>
        <v>273700</v>
      </c>
      <c r="E60" s="73" t="s">
        <v>12</v>
      </c>
    </row>
    <row r="61" spans="1:6" ht="36" x14ac:dyDescent="0.25">
      <c r="A61" s="80">
        <v>2</v>
      </c>
      <c r="B61" s="89" t="s">
        <v>215</v>
      </c>
      <c r="C61" s="89" t="s">
        <v>242</v>
      </c>
      <c r="D61" s="142">
        <f>11*1360*8.5-5457.47</f>
        <v>121702.53</v>
      </c>
      <c r="E61" s="73" t="s">
        <v>12</v>
      </c>
    </row>
    <row r="62" spans="1:6" ht="36" x14ac:dyDescent="0.25">
      <c r="A62" s="80">
        <v>3</v>
      </c>
      <c r="B62" s="89" t="s">
        <v>211</v>
      </c>
      <c r="C62" s="89" t="s">
        <v>241</v>
      </c>
      <c r="D62" s="142">
        <f>15*1120*8.5</f>
        <v>142800</v>
      </c>
      <c r="E62" s="73" t="s">
        <v>12</v>
      </c>
    </row>
    <row r="63" spans="1:6" ht="36" x14ac:dyDescent="0.25">
      <c r="A63" s="80">
        <v>4</v>
      </c>
      <c r="B63" s="89" t="s">
        <v>216</v>
      </c>
      <c r="C63" s="89" t="s">
        <v>227</v>
      </c>
      <c r="D63" s="142">
        <f>5*1200*8.4</f>
        <v>50400</v>
      </c>
      <c r="E63" s="73" t="s">
        <v>12</v>
      </c>
    </row>
    <row r="64" spans="1:6" ht="36" x14ac:dyDescent="0.25">
      <c r="A64" s="80">
        <v>5</v>
      </c>
      <c r="B64" s="89" t="s">
        <v>217</v>
      </c>
      <c r="C64" s="89" t="s">
        <v>228</v>
      </c>
      <c r="D64" s="142">
        <f>19*972.63*7.9</f>
        <v>145991.76300000001</v>
      </c>
      <c r="E64" s="73" t="s">
        <v>12</v>
      </c>
    </row>
    <row r="65" spans="1:17" ht="36" x14ac:dyDescent="0.25">
      <c r="A65" s="80">
        <v>6</v>
      </c>
      <c r="B65" s="89" t="s">
        <v>218</v>
      </c>
      <c r="C65" s="89" t="s">
        <v>239</v>
      </c>
      <c r="D65" s="142">
        <f>5*2800*8.9</f>
        <v>124600</v>
      </c>
      <c r="E65" s="73" t="s">
        <v>12</v>
      </c>
    </row>
    <row r="66" spans="1:17" ht="36" x14ac:dyDescent="0.25">
      <c r="A66" s="80">
        <v>7</v>
      </c>
      <c r="B66" s="89" t="s">
        <v>219</v>
      </c>
      <c r="C66" s="89" t="s">
        <v>229</v>
      </c>
      <c r="D66" s="142">
        <f>6*2080*8.5</f>
        <v>106080</v>
      </c>
      <c r="E66" s="73" t="s">
        <v>12</v>
      </c>
    </row>
    <row r="67" spans="1:17" ht="36" x14ac:dyDescent="0.25">
      <c r="A67" s="80">
        <v>8</v>
      </c>
      <c r="B67" s="89" t="s">
        <v>212</v>
      </c>
      <c r="C67" s="89" t="s">
        <v>230</v>
      </c>
      <c r="D67" s="142">
        <f>8*1120*8.1</f>
        <v>72576</v>
      </c>
      <c r="E67" s="73" t="s">
        <v>12</v>
      </c>
    </row>
    <row r="68" spans="1:17" ht="36" x14ac:dyDescent="0.25">
      <c r="A68" s="80">
        <v>9</v>
      </c>
      <c r="B68" s="89" t="s">
        <v>220</v>
      </c>
      <c r="C68" s="89" t="s">
        <v>240</v>
      </c>
      <c r="D68" s="142">
        <f>12*1026.67*7.8</f>
        <v>96096.312000000005</v>
      </c>
      <c r="E68" s="73" t="s">
        <v>12</v>
      </c>
    </row>
    <row r="69" spans="1:17" ht="36" x14ac:dyDescent="0.25">
      <c r="A69" s="80">
        <v>10</v>
      </c>
      <c r="B69" s="89" t="s">
        <v>221</v>
      </c>
      <c r="C69" s="89" t="s">
        <v>231</v>
      </c>
      <c r="D69" s="142">
        <f>20*1036*7.9</f>
        <v>163688</v>
      </c>
      <c r="E69" s="73" t="s">
        <v>12</v>
      </c>
    </row>
    <row r="70" spans="1:17" x14ac:dyDescent="0.25">
      <c r="A70" s="80">
        <v>11</v>
      </c>
      <c r="B70" s="89" t="s">
        <v>213</v>
      </c>
      <c r="C70" s="89" t="s">
        <v>232</v>
      </c>
      <c r="D70" s="142">
        <f>11*1563.64*8.4</f>
        <v>144480.33600000001</v>
      </c>
      <c r="E70" s="73" t="s">
        <v>12</v>
      </c>
    </row>
    <row r="71" spans="1:17" ht="36" x14ac:dyDescent="0.25">
      <c r="A71" s="80">
        <v>12</v>
      </c>
      <c r="B71" s="89" t="s">
        <v>222</v>
      </c>
      <c r="C71" s="89" t="s">
        <v>233</v>
      </c>
      <c r="D71" s="142">
        <f>10*1800*8.9</f>
        <v>160200</v>
      </c>
      <c r="E71" s="73" t="s">
        <v>12</v>
      </c>
    </row>
    <row r="72" spans="1:17" ht="36" x14ac:dyDescent="0.25">
      <c r="A72" s="80">
        <v>13</v>
      </c>
      <c r="B72" s="89" t="s">
        <v>223</v>
      </c>
      <c r="C72" s="89" t="s">
        <v>234</v>
      </c>
      <c r="D72" s="142">
        <f>9*1200*8.8</f>
        <v>95040.000000000015</v>
      </c>
      <c r="E72" s="73" t="s">
        <v>12</v>
      </c>
    </row>
    <row r="73" spans="1:17" ht="36" x14ac:dyDescent="0.25">
      <c r="A73" s="80">
        <v>14</v>
      </c>
      <c r="B73" s="89" t="s">
        <v>224</v>
      </c>
      <c r="C73" s="89" t="s">
        <v>235</v>
      </c>
      <c r="D73" s="142">
        <f>11*1120*8.8</f>
        <v>108416.00000000001</v>
      </c>
      <c r="E73" s="73" t="s">
        <v>12</v>
      </c>
    </row>
    <row r="74" spans="1:17" x14ac:dyDescent="0.25">
      <c r="A74" s="80">
        <v>15</v>
      </c>
      <c r="B74" s="89" t="s">
        <v>225</v>
      </c>
      <c r="C74" s="89" t="s">
        <v>236</v>
      </c>
      <c r="D74" s="142">
        <f>24*666.67*8</f>
        <v>128000.63999999998</v>
      </c>
      <c r="E74" s="73" t="s">
        <v>12</v>
      </c>
    </row>
    <row r="75" spans="1:17" s="150" customFormat="1" x14ac:dyDescent="0.25">
      <c r="A75" s="80">
        <v>16</v>
      </c>
      <c r="B75" s="89" t="s">
        <v>226</v>
      </c>
      <c r="C75" s="89" t="s">
        <v>237</v>
      </c>
      <c r="D75" s="142">
        <f>8*910*7</f>
        <v>50960</v>
      </c>
      <c r="E75" s="73" t="s">
        <v>12</v>
      </c>
    </row>
    <row r="76" spans="1:17" s="150" customFormat="1" ht="36" x14ac:dyDescent="0.25">
      <c r="A76" s="80">
        <v>17</v>
      </c>
      <c r="B76" s="89" t="s">
        <v>188</v>
      </c>
      <c r="C76" s="89"/>
      <c r="D76" s="142">
        <v>3556.8</v>
      </c>
      <c r="E76" s="73" t="s">
        <v>251</v>
      </c>
    </row>
    <row r="77" spans="1:17" ht="18.75" thickBot="1" x14ac:dyDescent="0.3">
      <c r="A77" s="166" t="s">
        <v>123</v>
      </c>
      <c r="B77" s="167"/>
      <c r="C77" s="49" t="s">
        <v>20</v>
      </c>
      <c r="D77" s="50">
        <f>SUM(D60:D76)</f>
        <v>1988288.3810000001</v>
      </c>
      <c r="E77" s="51"/>
      <c r="Q77" s="28">
        <f>1984731.58-D77</f>
        <v>-3556.8009999999776</v>
      </c>
    </row>
    <row r="78" spans="1:17" x14ac:dyDescent="0.25">
      <c r="A78" s="43"/>
      <c r="B78" s="43"/>
      <c r="C78" s="43"/>
      <c r="D78" s="44"/>
      <c r="E78" s="44"/>
    </row>
    <row r="79" spans="1:17" x14ac:dyDescent="0.25">
      <c r="A79" s="43"/>
      <c r="B79" s="43"/>
      <c r="C79" s="3"/>
      <c r="D79" s="3" t="s">
        <v>137</v>
      </c>
      <c r="E79" s="44"/>
    </row>
    <row r="80" spans="1:17" x14ac:dyDescent="0.25">
      <c r="A80" s="43"/>
      <c r="B80" s="43"/>
      <c r="C80" s="2"/>
      <c r="D80" s="2" t="s">
        <v>138</v>
      </c>
      <c r="E80" s="44"/>
    </row>
    <row r="81" spans="1:17" x14ac:dyDescent="0.25">
      <c r="A81" s="43"/>
      <c r="B81" s="43"/>
      <c r="C81" s="2"/>
      <c r="D81" s="2"/>
      <c r="E81" s="44"/>
    </row>
    <row r="82" spans="1:17" x14ac:dyDescent="0.25">
      <c r="A82" s="164" t="s">
        <v>139</v>
      </c>
      <c r="B82" s="164"/>
      <c r="C82" s="164"/>
      <c r="D82" s="164"/>
      <c r="E82" s="164"/>
      <c r="F82" s="164"/>
      <c r="G82" s="164"/>
    </row>
    <row r="83" spans="1:17" x14ac:dyDescent="0.25">
      <c r="A83" s="3"/>
      <c r="B83" s="84"/>
      <c r="C83" s="84"/>
      <c r="D83" s="84"/>
      <c r="E83" s="84"/>
      <c r="F83" s="84"/>
      <c r="G83" s="84"/>
    </row>
    <row r="84" spans="1:17" x14ac:dyDescent="0.25">
      <c r="A84" s="164" t="s">
        <v>105</v>
      </c>
      <c r="B84" s="164"/>
      <c r="C84" s="164"/>
      <c r="D84" s="164"/>
      <c r="E84" s="164"/>
      <c r="F84" s="164"/>
      <c r="G84" s="164"/>
    </row>
    <row r="85" spans="1:17" x14ac:dyDescent="0.25">
      <c r="A85" s="164" t="s">
        <v>0</v>
      </c>
      <c r="B85" s="164"/>
      <c r="C85" s="164"/>
      <c r="D85" s="164"/>
      <c r="E85" s="164"/>
      <c r="F85" s="164"/>
      <c r="G85" s="164"/>
    </row>
    <row r="86" spans="1:17" x14ac:dyDescent="0.25">
      <c r="A86" s="3"/>
      <c r="B86" s="84"/>
      <c r="C86" s="84"/>
      <c r="D86" s="84"/>
      <c r="E86" s="84"/>
      <c r="F86" s="84"/>
      <c r="G86" s="84"/>
    </row>
    <row r="87" spans="1:17" x14ac:dyDescent="0.25">
      <c r="A87" s="164" t="s">
        <v>140</v>
      </c>
      <c r="B87" s="164"/>
      <c r="C87" s="164"/>
      <c r="D87" s="164"/>
      <c r="E87" s="164"/>
      <c r="F87" s="164"/>
      <c r="G87" s="164"/>
    </row>
    <row r="88" spans="1:17" ht="18.75" thickBot="1" x14ac:dyDescent="0.3">
      <c r="A88" s="1"/>
    </row>
    <row r="89" spans="1:17" ht="18.75" thickBot="1" x14ac:dyDescent="0.3">
      <c r="A89" s="186" t="s">
        <v>1</v>
      </c>
      <c r="B89" s="193"/>
      <c r="C89" s="187"/>
      <c r="D89" s="186" t="s">
        <v>2</v>
      </c>
      <c r="E89" s="187"/>
      <c r="F89" s="188" t="s">
        <v>3</v>
      </c>
      <c r="G89" s="189"/>
      <c r="H89" s="46"/>
      <c r="I89" s="43"/>
    </row>
    <row r="90" spans="1:17" ht="18.75" thickBot="1" x14ac:dyDescent="0.3">
      <c r="A90" s="186" t="s">
        <v>4</v>
      </c>
      <c r="B90" s="187"/>
      <c r="C90" s="36" t="s">
        <v>5</v>
      </c>
      <c r="D90" s="186" t="s">
        <v>4</v>
      </c>
      <c r="E90" s="187"/>
      <c r="F90" s="190"/>
      <c r="G90" s="191"/>
      <c r="H90" s="43"/>
      <c r="I90" s="43"/>
    </row>
    <row r="91" spans="1:17" ht="90.75" thickBot="1" x14ac:dyDescent="0.3">
      <c r="A91" s="186" t="s">
        <v>6</v>
      </c>
      <c r="B91" s="187"/>
      <c r="C91" s="36" t="s">
        <v>7</v>
      </c>
      <c r="D91" s="186" t="s">
        <v>8</v>
      </c>
      <c r="E91" s="187"/>
      <c r="F91" s="178"/>
      <c r="G91" s="192"/>
      <c r="H91" s="47" t="s">
        <v>106</v>
      </c>
      <c r="I91" s="43"/>
    </row>
    <row r="92" spans="1:17" ht="18.75" thickBot="1" x14ac:dyDescent="0.3">
      <c r="A92" s="45" t="s">
        <v>9</v>
      </c>
      <c r="B92" s="36" t="s">
        <v>10</v>
      </c>
      <c r="C92" s="36" t="s">
        <v>9</v>
      </c>
      <c r="D92" s="36" t="s">
        <v>10</v>
      </c>
      <c r="E92" s="36" t="s">
        <v>9</v>
      </c>
      <c r="F92" s="36" t="s">
        <v>10</v>
      </c>
      <c r="G92" s="36" t="s">
        <v>10</v>
      </c>
      <c r="H92" s="36" t="s">
        <v>10</v>
      </c>
      <c r="I92" s="43"/>
    </row>
    <row r="93" spans="1:17" ht="18.75" thickBot="1" x14ac:dyDescent="0.3">
      <c r="A93" s="45">
        <v>1</v>
      </c>
      <c r="B93" s="36">
        <v>2</v>
      </c>
      <c r="C93" s="36">
        <v>3</v>
      </c>
      <c r="D93" s="36">
        <v>4</v>
      </c>
      <c r="E93" s="36">
        <v>5</v>
      </c>
      <c r="F93" s="36">
        <v>7</v>
      </c>
      <c r="G93" s="36">
        <v>8</v>
      </c>
      <c r="H93" s="36">
        <v>6</v>
      </c>
      <c r="I93" s="43"/>
    </row>
    <row r="94" spans="1:17" ht="18.75" thickBot="1" x14ac:dyDescent="0.3">
      <c r="A94" s="15">
        <f>B94/12</f>
        <v>540000</v>
      </c>
      <c r="B94" s="16">
        <v>6480000</v>
      </c>
      <c r="C94" s="16">
        <f>(4401000-209350)/12</f>
        <v>349304.16666666669</v>
      </c>
      <c r="D94" s="16">
        <f>29319000-H94</f>
        <v>29249000</v>
      </c>
      <c r="E94" s="16">
        <f>D94/12</f>
        <v>2437416.6666666665</v>
      </c>
      <c r="F94" s="16">
        <f>B94+D94+(C94*12)+H94</f>
        <v>39990650</v>
      </c>
      <c r="G94" s="17">
        <v>0</v>
      </c>
      <c r="H94" s="16">
        <v>70000</v>
      </c>
      <c r="I94" s="111"/>
      <c r="Q94" s="28">
        <f>30644784.95+70000+9275865.05-F94</f>
        <v>0</v>
      </c>
    </row>
    <row r="95" spans="1:17" x14ac:dyDescent="0.25">
      <c r="A95" s="180"/>
      <c r="B95" s="181"/>
      <c r="C95" s="181"/>
      <c r="D95" s="181"/>
      <c r="E95" s="181"/>
      <c r="F95" s="181"/>
      <c r="G95" s="182"/>
      <c r="H95" s="18"/>
      <c r="I95" s="95"/>
    </row>
    <row r="96" spans="1:17" ht="16.5" customHeight="1" thickBot="1" x14ac:dyDescent="0.3">
      <c r="A96" s="183" t="s">
        <v>183</v>
      </c>
      <c r="B96" s="184"/>
      <c r="C96" s="184"/>
      <c r="D96" s="184"/>
      <c r="E96" s="184"/>
      <c r="F96" s="184"/>
      <c r="G96" s="185"/>
      <c r="H96" s="19"/>
      <c r="I96" s="95"/>
    </row>
    <row r="97" spans="1:7" ht="16.5" customHeight="1" thickBot="1" x14ac:dyDescent="0.3">
      <c r="A97" s="186" t="s">
        <v>272</v>
      </c>
      <c r="B97" s="187"/>
      <c r="C97" s="188" t="s">
        <v>3</v>
      </c>
      <c r="D97" s="189"/>
    </row>
    <row r="98" spans="1:7" ht="18.75" thickBot="1" x14ac:dyDescent="0.3">
      <c r="A98" s="186" t="s">
        <v>270</v>
      </c>
      <c r="B98" s="187"/>
      <c r="C98" s="190"/>
      <c r="D98" s="191"/>
    </row>
    <row r="99" spans="1:7" ht="30" customHeight="1" thickBot="1" x14ac:dyDescent="0.3">
      <c r="A99" s="186" t="s">
        <v>271</v>
      </c>
      <c r="B99" s="187"/>
      <c r="C99" s="178"/>
      <c r="D99" s="192"/>
    </row>
    <row r="100" spans="1:7" ht="18.75" thickBot="1" x14ac:dyDescent="0.3">
      <c r="A100" s="161" t="s">
        <v>9</v>
      </c>
      <c r="B100" s="162" t="s">
        <v>10</v>
      </c>
      <c r="C100" s="162" t="s">
        <v>10</v>
      </c>
      <c r="D100" s="162" t="s">
        <v>10</v>
      </c>
    </row>
    <row r="101" spans="1:7" ht="18.75" thickBot="1" x14ac:dyDescent="0.3">
      <c r="A101" s="161">
        <v>1</v>
      </c>
      <c r="B101" s="162">
        <v>2</v>
      </c>
      <c r="C101" s="162">
        <v>6</v>
      </c>
      <c r="D101" s="162">
        <v>7</v>
      </c>
    </row>
    <row r="102" spans="1:7" ht="18.75" thickBot="1" x14ac:dyDescent="0.3">
      <c r="A102" s="15">
        <f>B102/8</f>
        <v>116040.75</v>
      </c>
      <c r="B102" s="16">
        <f>713000+215326</f>
        <v>928326</v>
      </c>
      <c r="C102" s="16">
        <f>B102</f>
        <v>928326</v>
      </c>
      <c r="D102" s="17">
        <v>0</v>
      </c>
    </row>
    <row r="103" spans="1:7" x14ac:dyDescent="0.25">
      <c r="A103" s="158"/>
      <c r="B103" s="159"/>
      <c r="C103" s="159"/>
      <c r="D103" s="160"/>
    </row>
    <row r="104" spans="1:7" ht="16.5" customHeight="1" thickBot="1" x14ac:dyDescent="0.3">
      <c r="A104" s="195" t="s">
        <v>11</v>
      </c>
      <c r="B104" s="196"/>
      <c r="C104" s="196"/>
      <c r="D104" s="197"/>
    </row>
    <row r="105" spans="1:7" ht="18.75" thickBot="1" x14ac:dyDescent="0.3">
      <c r="A105" s="20"/>
      <c r="B105" s="20"/>
      <c r="C105" s="20"/>
      <c r="D105" s="20"/>
      <c r="E105" s="20"/>
      <c r="F105" s="20"/>
      <c r="G105" s="20"/>
    </row>
    <row r="106" spans="1:7" ht="16.5" customHeight="1" thickBot="1" x14ac:dyDescent="0.3">
      <c r="A106" s="186" t="s">
        <v>1</v>
      </c>
      <c r="B106" s="187"/>
      <c r="C106" s="188" t="s">
        <v>3</v>
      </c>
      <c r="D106" s="189"/>
    </row>
    <row r="107" spans="1:7" ht="18.75" thickBot="1" x14ac:dyDescent="0.3">
      <c r="A107" s="186" t="s">
        <v>12</v>
      </c>
      <c r="B107" s="187"/>
      <c r="C107" s="190"/>
      <c r="D107" s="191"/>
    </row>
    <row r="108" spans="1:7" ht="30" customHeight="1" thickBot="1" x14ac:dyDescent="0.3">
      <c r="A108" s="186" t="s">
        <v>6</v>
      </c>
      <c r="B108" s="187"/>
      <c r="C108" s="178"/>
      <c r="D108" s="192"/>
    </row>
    <row r="109" spans="1:7" ht="18.75" thickBot="1" x14ac:dyDescent="0.3">
      <c r="A109" s="45" t="s">
        <v>9</v>
      </c>
      <c r="B109" s="36" t="s">
        <v>10</v>
      </c>
      <c r="C109" s="36" t="s">
        <v>10</v>
      </c>
      <c r="D109" s="36" t="s">
        <v>10</v>
      </c>
    </row>
    <row r="110" spans="1:7" ht="18.75" thickBot="1" x14ac:dyDescent="0.3">
      <c r="A110" s="45">
        <v>1</v>
      </c>
      <c r="B110" s="36">
        <v>2</v>
      </c>
      <c r="C110" s="36">
        <v>6</v>
      </c>
      <c r="D110" s="36">
        <v>7</v>
      </c>
    </row>
    <row r="111" spans="1:7" ht="18.75" thickBot="1" x14ac:dyDescent="0.3">
      <c r="A111" s="15">
        <f>B111/8</f>
        <v>195882.26624999999</v>
      </c>
      <c r="B111" s="16">
        <f>1203577.67+363480.46</f>
        <v>1567058.13</v>
      </c>
      <c r="C111" s="16">
        <f>B111</f>
        <v>1567058.13</v>
      </c>
      <c r="D111" s="17">
        <v>0</v>
      </c>
    </row>
    <row r="112" spans="1:7" x14ac:dyDescent="0.25">
      <c r="A112" s="21"/>
      <c r="B112" s="22"/>
      <c r="C112" s="22"/>
      <c r="D112" s="23"/>
    </row>
    <row r="113" spans="1:7" ht="16.5" customHeight="1" thickBot="1" x14ac:dyDescent="0.3">
      <c r="A113" s="195" t="s">
        <v>11</v>
      </c>
      <c r="B113" s="196"/>
      <c r="C113" s="196"/>
      <c r="D113" s="197"/>
    </row>
    <row r="114" spans="1:7" x14ac:dyDescent="0.25">
      <c r="A114" s="20"/>
      <c r="B114" s="20"/>
      <c r="C114" s="20"/>
      <c r="D114" s="20"/>
      <c r="E114" s="20"/>
      <c r="F114" s="20"/>
      <c r="G114" s="20"/>
    </row>
    <row r="115" spans="1:7" ht="18.75" customHeight="1" x14ac:dyDescent="0.25">
      <c r="A115" s="164" t="s">
        <v>141</v>
      </c>
      <c r="B115" s="164"/>
      <c r="C115" s="164"/>
      <c r="D115" s="164"/>
      <c r="E115" s="164"/>
      <c r="F115" s="164"/>
      <c r="G115" s="8"/>
    </row>
    <row r="116" spans="1:7" ht="18.75" thickBot="1" x14ac:dyDescent="0.3">
      <c r="A116" s="1"/>
    </row>
    <row r="117" spans="1:7" ht="15" customHeight="1" x14ac:dyDescent="0.25">
      <c r="A117" s="198" t="s">
        <v>13</v>
      </c>
      <c r="B117" s="198" t="s">
        <v>142</v>
      </c>
      <c r="C117" s="198" t="s">
        <v>15</v>
      </c>
      <c r="D117" s="198" t="s">
        <v>16</v>
      </c>
      <c r="E117" s="198" t="s">
        <v>17</v>
      </c>
      <c r="F117" s="198" t="s">
        <v>18</v>
      </c>
      <c r="G117" s="8"/>
    </row>
    <row r="118" spans="1:7" ht="54.75" customHeight="1" thickBot="1" x14ac:dyDescent="0.3">
      <c r="A118" s="199"/>
      <c r="B118" s="199"/>
      <c r="C118" s="199"/>
      <c r="D118" s="199"/>
      <c r="E118" s="199"/>
      <c r="F118" s="199"/>
      <c r="G118" s="8"/>
    </row>
    <row r="119" spans="1:7" ht="18.75" thickBot="1" x14ac:dyDescent="0.3">
      <c r="A119" s="45">
        <v>1</v>
      </c>
      <c r="B119" s="36">
        <v>2</v>
      </c>
      <c r="C119" s="36">
        <v>3</v>
      </c>
      <c r="D119" s="36">
        <v>4</v>
      </c>
      <c r="E119" s="36">
        <v>5</v>
      </c>
      <c r="F119" s="36">
        <v>6</v>
      </c>
      <c r="G119" s="8"/>
    </row>
    <row r="120" spans="1:7" s="28" customFormat="1" ht="18.75" thickBot="1" x14ac:dyDescent="0.3">
      <c r="A120" s="25"/>
      <c r="B120" s="26"/>
      <c r="C120" s="26"/>
      <c r="D120" s="26"/>
      <c r="E120" s="26"/>
      <c r="F120" s="26"/>
      <c r="G120" s="27"/>
    </row>
    <row r="121" spans="1:7" ht="18.75" thickBot="1" x14ac:dyDescent="0.3">
      <c r="A121" s="200" t="s">
        <v>19</v>
      </c>
      <c r="B121" s="201"/>
      <c r="C121" s="12" t="s">
        <v>20</v>
      </c>
      <c r="D121" s="12" t="s">
        <v>20</v>
      </c>
      <c r="E121" s="12" t="s">
        <v>20</v>
      </c>
      <c r="F121" s="26">
        <f>SUM(F120)</f>
        <v>0</v>
      </c>
      <c r="G121" s="8"/>
    </row>
    <row r="122" spans="1:7" x14ac:dyDescent="0.25">
      <c r="A122" s="180"/>
      <c r="B122" s="181"/>
      <c r="C122" s="181"/>
      <c r="D122" s="181"/>
      <c r="E122" s="181"/>
      <c r="F122" s="182"/>
      <c r="G122" s="194"/>
    </row>
    <row r="123" spans="1:7" ht="16.5" customHeight="1" thickBot="1" x14ac:dyDescent="0.3">
      <c r="A123" s="183" t="s">
        <v>21</v>
      </c>
      <c r="B123" s="184"/>
      <c r="C123" s="184"/>
      <c r="D123" s="184"/>
      <c r="E123" s="184"/>
      <c r="F123" s="185"/>
      <c r="G123" s="194"/>
    </row>
    <row r="124" spans="1:7" x14ac:dyDescent="0.25">
      <c r="A124" s="1"/>
    </row>
    <row r="125" spans="1:7" ht="18.75" customHeight="1" x14ac:dyDescent="0.25">
      <c r="A125" s="164" t="s">
        <v>143</v>
      </c>
      <c r="B125" s="164"/>
      <c r="C125" s="164"/>
      <c r="D125" s="164"/>
      <c r="E125" s="164"/>
      <c r="F125" s="164"/>
      <c r="G125" s="8"/>
    </row>
    <row r="126" spans="1:7" ht="18.75" thickBot="1" x14ac:dyDescent="0.3">
      <c r="A126" s="1"/>
    </row>
    <row r="127" spans="1:7" ht="15" customHeight="1" x14ac:dyDescent="0.25">
      <c r="A127" s="198" t="s">
        <v>13</v>
      </c>
      <c r="B127" s="198" t="s">
        <v>142</v>
      </c>
      <c r="C127" s="198" t="s">
        <v>23</v>
      </c>
      <c r="D127" s="85" t="s">
        <v>144</v>
      </c>
      <c r="E127" s="198" t="s">
        <v>24</v>
      </c>
      <c r="F127" s="198" t="s">
        <v>18</v>
      </c>
      <c r="G127" s="8"/>
    </row>
    <row r="128" spans="1:7" ht="54.75" customHeight="1" thickBot="1" x14ac:dyDescent="0.3">
      <c r="A128" s="199"/>
      <c r="B128" s="199"/>
      <c r="C128" s="199"/>
      <c r="D128" s="45"/>
      <c r="E128" s="199"/>
      <c r="F128" s="199"/>
      <c r="G128" s="8"/>
    </row>
    <row r="129" spans="1:7" ht="18.75" thickBot="1" x14ac:dyDescent="0.3">
      <c r="A129" s="45">
        <v>1</v>
      </c>
      <c r="B129" s="36">
        <v>2</v>
      </c>
      <c r="C129" s="36">
        <v>3</v>
      </c>
      <c r="D129" s="36">
        <v>4</v>
      </c>
      <c r="E129" s="36">
        <v>5</v>
      </c>
      <c r="F129" s="36">
        <v>6</v>
      </c>
      <c r="G129" s="8"/>
    </row>
    <row r="130" spans="1:7" s="28" customFormat="1" ht="18.75" thickBot="1" x14ac:dyDescent="0.3">
      <c r="A130" s="30">
        <v>1</v>
      </c>
      <c r="B130" s="29" t="s">
        <v>101</v>
      </c>
      <c r="C130" s="29">
        <v>0</v>
      </c>
      <c r="D130" s="26">
        <v>12</v>
      </c>
      <c r="E130" s="26">
        <f>57.5</f>
        <v>57.5</v>
      </c>
      <c r="F130" s="26">
        <f>E130*D130*C130</f>
        <v>0</v>
      </c>
      <c r="G130" s="27"/>
    </row>
    <row r="131" spans="1:7" ht="18.75" thickBot="1" x14ac:dyDescent="0.3">
      <c r="A131" s="200" t="s">
        <v>19</v>
      </c>
      <c r="B131" s="201"/>
      <c r="C131" s="12" t="s">
        <v>20</v>
      </c>
      <c r="D131" s="12" t="s">
        <v>20</v>
      </c>
      <c r="E131" s="12" t="s">
        <v>20</v>
      </c>
      <c r="F131" s="26">
        <f>SUM(F130)</f>
        <v>0</v>
      </c>
      <c r="G131" s="8"/>
    </row>
    <row r="132" spans="1:7" x14ac:dyDescent="0.25">
      <c r="A132" s="180"/>
      <c r="B132" s="181"/>
      <c r="C132" s="181"/>
      <c r="D132" s="181"/>
      <c r="E132" s="181"/>
      <c r="F132" s="182"/>
      <c r="G132" s="194"/>
    </row>
    <row r="133" spans="1:7" ht="16.5" customHeight="1" thickBot="1" x14ac:dyDescent="0.3">
      <c r="A133" s="183" t="s">
        <v>21</v>
      </c>
      <c r="B133" s="184"/>
      <c r="C133" s="184"/>
      <c r="D133" s="184"/>
      <c r="E133" s="184"/>
      <c r="F133" s="185"/>
      <c r="G133" s="194"/>
    </row>
    <row r="134" spans="1:7" ht="16.5" customHeight="1" x14ac:dyDescent="0.25">
      <c r="A134" s="20"/>
      <c r="B134" s="20"/>
      <c r="C134" s="20"/>
      <c r="D134" s="20"/>
      <c r="E134" s="20"/>
      <c r="F134" s="20"/>
      <c r="G134" s="20"/>
    </row>
    <row r="135" spans="1:7" ht="18.75" customHeight="1" x14ac:dyDescent="0.25">
      <c r="A135" s="164" t="s">
        <v>145</v>
      </c>
      <c r="B135" s="164"/>
      <c r="C135" s="164"/>
      <c r="D135" s="164"/>
      <c r="E135" s="164"/>
      <c r="F135" s="164"/>
    </row>
    <row r="136" spans="1:7" ht="18.75" customHeight="1" x14ac:dyDescent="0.25">
      <c r="A136" s="164" t="s">
        <v>26</v>
      </c>
      <c r="B136" s="164"/>
      <c r="C136" s="164"/>
      <c r="D136" s="164"/>
      <c r="E136" s="164"/>
      <c r="F136" s="164"/>
    </row>
    <row r="137" spans="1:7" ht="18.75" customHeight="1" x14ac:dyDescent="0.25">
      <c r="A137" s="164" t="s">
        <v>27</v>
      </c>
      <c r="B137" s="164"/>
      <c r="C137" s="164"/>
      <c r="D137" s="164"/>
      <c r="E137" s="164"/>
      <c r="F137" s="164"/>
    </row>
    <row r="138" spans="1:7" ht="18.75" customHeight="1" x14ac:dyDescent="0.25">
      <c r="A138" s="164" t="s">
        <v>28</v>
      </c>
      <c r="B138" s="164"/>
      <c r="C138" s="164"/>
      <c r="D138" s="164"/>
      <c r="E138" s="164"/>
      <c r="F138" s="164"/>
    </row>
    <row r="139" spans="1:7" ht="18.75" thickBot="1" x14ac:dyDescent="0.3">
      <c r="A139" s="1"/>
    </row>
    <row r="140" spans="1:7" x14ac:dyDescent="0.25">
      <c r="A140" s="202" t="s">
        <v>22</v>
      </c>
      <c r="B140" s="202" t="s">
        <v>29</v>
      </c>
      <c r="C140" s="202" t="s">
        <v>30</v>
      </c>
      <c r="D140" s="202" t="s">
        <v>31</v>
      </c>
      <c r="E140" s="8"/>
    </row>
    <row r="141" spans="1:7" ht="18.75" thickBot="1" x14ac:dyDescent="0.3">
      <c r="A141" s="203"/>
      <c r="B141" s="203"/>
      <c r="C141" s="203"/>
      <c r="D141" s="203"/>
      <c r="E141" s="8"/>
    </row>
    <row r="142" spans="1:7" ht="18.75" thickBot="1" x14ac:dyDescent="0.3">
      <c r="A142" s="14">
        <v>1</v>
      </c>
      <c r="B142" s="12">
        <v>2</v>
      </c>
      <c r="C142" s="12">
        <v>3</v>
      </c>
      <c r="D142" s="12">
        <v>4</v>
      </c>
      <c r="E142" s="8"/>
    </row>
    <row r="143" spans="1:7" ht="36.75" thickBot="1" x14ac:dyDescent="0.3">
      <c r="A143" s="14">
        <v>1</v>
      </c>
      <c r="B143" s="29" t="s">
        <v>32</v>
      </c>
      <c r="C143" s="12" t="s">
        <v>20</v>
      </c>
      <c r="D143" s="31"/>
      <c r="E143" s="8"/>
    </row>
    <row r="144" spans="1:7" ht="18.75" thickBot="1" x14ac:dyDescent="0.3">
      <c r="A144" s="14" t="s">
        <v>33</v>
      </c>
      <c r="B144" s="29" t="s">
        <v>34</v>
      </c>
      <c r="C144" s="16">
        <f>F94/1.302</f>
        <v>30714784.946236558</v>
      </c>
      <c r="D144" s="16">
        <f>C144*0.22</f>
        <v>6757252.6881720433</v>
      </c>
      <c r="E144" s="8"/>
    </row>
    <row r="145" spans="1:5" ht="18.75" thickBot="1" x14ac:dyDescent="0.3">
      <c r="A145" s="14" t="s">
        <v>35</v>
      </c>
      <c r="B145" s="29" t="s">
        <v>36</v>
      </c>
      <c r="C145" s="31"/>
      <c r="D145" s="16"/>
      <c r="E145" s="8"/>
    </row>
    <row r="146" spans="1:5" ht="72.75" thickBot="1" x14ac:dyDescent="0.3">
      <c r="A146" s="14" t="s">
        <v>37</v>
      </c>
      <c r="B146" s="29" t="s">
        <v>38</v>
      </c>
      <c r="C146" s="31"/>
      <c r="D146" s="16"/>
      <c r="E146" s="8"/>
    </row>
    <row r="147" spans="1:5" ht="54.75" thickBot="1" x14ac:dyDescent="0.3">
      <c r="A147" s="14">
        <v>2</v>
      </c>
      <c r="B147" s="29" t="s">
        <v>39</v>
      </c>
      <c r="C147" s="12" t="s">
        <v>20</v>
      </c>
      <c r="D147" s="16"/>
      <c r="E147" s="8"/>
    </row>
    <row r="148" spans="1:5" ht="54.75" thickBot="1" x14ac:dyDescent="0.3">
      <c r="A148" s="14" t="s">
        <v>40</v>
      </c>
      <c r="B148" s="29" t="s">
        <v>41</v>
      </c>
      <c r="C148" s="16">
        <f>C144</f>
        <v>30714784.946236558</v>
      </c>
      <c r="D148" s="16">
        <f>C148*2.9%</f>
        <v>890728.76344086009</v>
      </c>
      <c r="E148" s="8"/>
    </row>
    <row r="149" spans="1:5" ht="54.75" thickBot="1" x14ac:dyDescent="0.3">
      <c r="A149" s="14" t="s">
        <v>42</v>
      </c>
      <c r="B149" s="29" t="s">
        <v>43</v>
      </c>
      <c r="C149" s="31"/>
      <c r="D149" s="16"/>
      <c r="E149" s="8"/>
    </row>
    <row r="150" spans="1:5" ht="72.75" thickBot="1" x14ac:dyDescent="0.3">
      <c r="A150" s="14" t="s">
        <v>44</v>
      </c>
      <c r="B150" s="29" t="s">
        <v>45</v>
      </c>
      <c r="C150" s="16">
        <f>C144</f>
        <v>30714784.946236558</v>
      </c>
      <c r="D150" s="16">
        <f>C150*0.2%</f>
        <v>61429.569892473119</v>
      </c>
      <c r="E150" s="8"/>
    </row>
    <row r="151" spans="1:5" ht="72.75" thickBot="1" x14ac:dyDescent="0.3">
      <c r="A151" s="14" t="s">
        <v>46</v>
      </c>
      <c r="B151" s="29" t="s">
        <v>47</v>
      </c>
      <c r="C151" s="31"/>
      <c r="D151" s="16"/>
      <c r="E151" s="8"/>
    </row>
    <row r="152" spans="1:5" ht="72.75" thickBot="1" x14ac:dyDescent="0.3">
      <c r="A152" s="14" t="s">
        <v>48</v>
      </c>
      <c r="B152" s="29" t="s">
        <v>47</v>
      </c>
      <c r="C152" s="31"/>
      <c r="D152" s="16"/>
      <c r="E152" s="8"/>
    </row>
    <row r="153" spans="1:5" ht="54.75" thickBot="1" x14ac:dyDescent="0.3">
      <c r="A153" s="14">
        <v>3</v>
      </c>
      <c r="B153" s="29" t="s">
        <v>49</v>
      </c>
      <c r="C153" s="16">
        <f>C150</f>
        <v>30714784.946236558</v>
      </c>
      <c r="D153" s="16">
        <f>C153*5.1%</f>
        <v>1566454.0322580645</v>
      </c>
      <c r="E153" s="8"/>
    </row>
    <row r="154" spans="1:5" ht="18.75" thickBot="1" x14ac:dyDescent="0.3">
      <c r="A154" s="30" t="s">
        <v>19</v>
      </c>
      <c r="B154" s="29"/>
      <c r="C154" s="12" t="s">
        <v>25</v>
      </c>
      <c r="D154" s="17">
        <f>SUM(D144:D153)</f>
        <v>9275865.0537634417</v>
      </c>
      <c r="E154" s="8"/>
    </row>
    <row r="155" spans="1:5" x14ac:dyDescent="0.25">
      <c r="A155" s="20"/>
      <c r="B155" s="20"/>
      <c r="C155" s="13"/>
      <c r="D155" s="39"/>
      <c r="E155" s="8"/>
    </row>
    <row r="156" spans="1:5" x14ac:dyDescent="0.25">
      <c r="A156" s="8"/>
    </row>
    <row r="157" spans="1:5" x14ac:dyDescent="0.25">
      <c r="A157" s="164" t="s">
        <v>146</v>
      </c>
      <c r="B157" s="164"/>
      <c r="C157" s="164"/>
      <c r="D157" s="164"/>
      <c r="E157" s="164"/>
    </row>
    <row r="158" spans="1:5" x14ac:dyDescent="0.25">
      <c r="A158" s="87"/>
      <c r="B158" s="84"/>
      <c r="C158" s="84"/>
      <c r="D158" s="84"/>
      <c r="E158" s="84"/>
    </row>
    <row r="159" spans="1:5" x14ac:dyDescent="0.25">
      <c r="A159" s="164" t="s">
        <v>102</v>
      </c>
      <c r="B159" s="164"/>
      <c r="C159" s="164"/>
      <c r="D159" s="164"/>
      <c r="E159" s="164"/>
    </row>
    <row r="160" spans="1:5" x14ac:dyDescent="0.25">
      <c r="A160" s="164" t="s">
        <v>148</v>
      </c>
      <c r="B160" s="164"/>
      <c r="C160" s="164"/>
      <c r="D160" s="164"/>
      <c r="E160" s="164"/>
    </row>
    <row r="161" spans="1:6" ht="18.75" thickBot="1" x14ac:dyDescent="0.3">
      <c r="A161" s="8"/>
    </row>
    <row r="162" spans="1:6" x14ac:dyDescent="0.25">
      <c r="A162" s="198" t="s">
        <v>13</v>
      </c>
      <c r="B162" s="198" t="s">
        <v>50</v>
      </c>
      <c r="C162" s="198" t="s">
        <v>51</v>
      </c>
      <c r="D162" s="198" t="s">
        <v>52</v>
      </c>
      <c r="E162" s="198" t="s">
        <v>53</v>
      </c>
      <c r="F162" s="8"/>
    </row>
    <row r="163" spans="1:6" ht="18.75" thickBot="1" x14ac:dyDescent="0.3">
      <c r="A163" s="207"/>
      <c r="B163" s="199"/>
      <c r="C163" s="199"/>
      <c r="D163" s="199"/>
      <c r="E163" s="199"/>
      <c r="F163" s="8"/>
    </row>
    <row r="164" spans="1:6" ht="18.75" thickBot="1" x14ac:dyDescent="0.3">
      <c r="A164" s="45">
        <v>1</v>
      </c>
      <c r="B164" s="36">
        <v>2</v>
      </c>
      <c r="C164" s="36">
        <v>3</v>
      </c>
      <c r="D164" s="36">
        <v>4</v>
      </c>
      <c r="E164" s="36">
        <v>5</v>
      </c>
      <c r="F164" s="8"/>
    </row>
    <row r="165" spans="1:6" ht="18.75" thickBot="1" x14ac:dyDescent="0.3">
      <c r="A165" s="14">
        <v>1</v>
      </c>
      <c r="B165" s="12" t="s">
        <v>54</v>
      </c>
      <c r="C165" s="17">
        <f>E165/D165</f>
        <v>395010.72222222225</v>
      </c>
      <c r="D165" s="17">
        <v>9</v>
      </c>
      <c r="E165" s="17">
        <f>2316096.5+1239000</f>
        <v>3555096.5</v>
      </c>
      <c r="F165" s="8"/>
    </row>
    <row r="166" spans="1:6" ht="18.75" thickBot="1" x14ac:dyDescent="0.3">
      <c r="A166" s="24">
        <v>2</v>
      </c>
      <c r="B166" s="12" t="s">
        <v>189</v>
      </c>
      <c r="C166" s="17">
        <f>E166/D166</f>
        <v>4200</v>
      </c>
      <c r="D166" s="17">
        <v>12</v>
      </c>
      <c r="E166" s="17">
        <v>50400</v>
      </c>
      <c r="F166" s="8"/>
    </row>
    <row r="167" spans="1:6" ht="18.75" thickBot="1" x14ac:dyDescent="0.3">
      <c r="A167" s="156">
        <v>3</v>
      </c>
      <c r="B167" s="12" t="s">
        <v>252</v>
      </c>
      <c r="C167" s="17">
        <f>E167/D167</f>
        <v>188170.43333333335</v>
      </c>
      <c r="D167" s="17">
        <v>3</v>
      </c>
      <c r="E167" s="17">
        <v>564511.30000000005</v>
      </c>
      <c r="F167" s="8"/>
    </row>
    <row r="168" spans="1:6" ht="18.75" thickBot="1" x14ac:dyDescent="0.3">
      <c r="A168" s="200" t="s">
        <v>19</v>
      </c>
      <c r="B168" s="201"/>
      <c r="C168" s="17" t="s">
        <v>20</v>
      </c>
      <c r="D168" s="17" t="s">
        <v>25</v>
      </c>
      <c r="E168" s="17">
        <f>SUM(E165:E167)</f>
        <v>4170007.8</v>
      </c>
      <c r="F168" s="8"/>
    </row>
    <row r="169" spans="1:6" x14ac:dyDescent="0.25">
      <c r="A169" s="180"/>
      <c r="B169" s="181"/>
      <c r="C169" s="181"/>
      <c r="D169" s="181"/>
      <c r="E169" s="204"/>
      <c r="F169" s="205"/>
    </row>
    <row r="170" spans="1:6" ht="18.75" thickBot="1" x14ac:dyDescent="0.3">
      <c r="A170" s="183" t="s">
        <v>147</v>
      </c>
      <c r="B170" s="184"/>
      <c r="C170" s="184"/>
      <c r="D170" s="184"/>
      <c r="E170" s="206"/>
      <c r="F170" s="205"/>
    </row>
    <row r="171" spans="1:6" x14ac:dyDescent="0.25">
      <c r="A171" s="8"/>
    </row>
    <row r="172" spans="1:6" x14ac:dyDescent="0.25">
      <c r="A172" s="164" t="s">
        <v>149</v>
      </c>
      <c r="B172" s="164"/>
      <c r="C172" s="164"/>
      <c r="D172" s="164"/>
      <c r="E172" s="164"/>
    </row>
    <row r="173" spans="1:6" x14ac:dyDescent="0.25">
      <c r="A173" s="87"/>
      <c r="B173" s="84"/>
      <c r="C173" s="84"/>
      <c r="D173" s="84"/>
      <c r="E173" s="84"/>
    </row>
    <row r="174" spans="1:6" x14ac:dyDescent="0.25">
      <c r="A174" s="164" t="s">
        <v>103</v>
      </c>
      <c r="B174" s="164"/>
      <c r="C174" s="164"/>
      <c r="D174" s="164"/>
      <c r="E174" s="164"/>
    </row>
    <row r="175" spans="1:6" x14ac:dyDescent="0.25">
      <c r="A175" s="164" t="s">
        <v>55</v>
      </c>
      <c r="B175" s="164"/>
      <c r="C175" s="164"/>
      <c r="D175" s="164"/>
      <c r="E175" s="164"/>
    </row>
    <row r="176" spans="1:6" ht="18.75" thickBot="1" x14ac:dyDescent="0.3">
      <c r="A176" s="8"/>
    </row>
    <row r="177" spans="1:17" x14ac:dyDescent="0.25">
      <c r="A177" s="198" t="s">
        <v>13</v>
      </c>
      <c r="B177" s="198" t="s">
        <v>14</v>
      </c>
      <c r="C177" s="198" t="s">
        <v>56</v>
      </c>
      <c r="D177" s="198" t="s">
        <v>57</v>
      </c>
      <c r="E177" s="198" t="s">
        <v>121</v>
      </c>
      <c r="F177" s="8"/>
    </row>
    <row r="178" spans="1:17" ht="51" customHeight="1" thickBot="1" x14ac:dyDescent="0.3">
      <c r="A178" s="207"/>
      <c r="B178" s="207"/>
      <c r="C178" s="199"/>
      <c r="D178" s="199"/>
      <c r="E178" s="199"/>
      <c r="F178" s="8"/>
    </row>
    <row r="179" spans="1:17" ht="18.75" thickBot="1" x14ac:dyDescent="0.3">
      <c r="A179" s="45">
        <v>1</v>
      </c>
      <c r="B179" s="36">
        <v>2</v>
      </c>
      <c r="C179" s="36">
        <v>3</v>
      </c>
      <c r="D179" s="36">
        <v>4</v>
      </c>
      <c r="E179" s="36">
        <v>5</v>
      </c>
      <c r="F179" s="8"/>
    </row>
    <row r="180" spans="1:17" ht="18.75" thickBot="1" x14ac:dyDescent="0.3">
      <c r="A180" s="30">
        <v>1</v>
      </c>
      <c r="B180" s="12" t="s">
        <v>195</v>
      </c>
      <c r="C180" s="17">
        <f>E180/2%</f>
        <v>5149653.5999999996</v>
      </c>
      <c r="D180" s="12">
        <v>2</v>
      </c>
      <c r="E180" s="17">
        <v>102993.072</v>
      </c>
      <c r="F180" s="8"/>
    </row>
    <row r="181" spans="1:17" ht="18.75" thickBot="1" x14ac:dyDescent="0.3">
      <c r="A181" s="151"/>
      <c r="B181" s="152" t="s">
        <v>58</v>
      </c>
      <c r="C181" s="17">
        <f>E181/1.5%</f>
        <v>58402607.86666666</v>
      </c>
      <c r="D181" s="12">
        <v>1.5</v>
      </c>
      <c r="E181" s="17">
        <f>979032.19-E180</f>
        <v>876039.1179999999</v>
      </c>
      <c r="F181" s="8"/>
    </row>
    <row r="182" spans="1:17" ht="18.75" thickBot="1" x14ac:dyDescent="0.3">
      <c r="A182" s="200" t="s">
        <v>19</v>
      </c>
      <c r="B182" s="212"/>
      <c r="C182" s="12"/>
      <c r="D182" s="12" t="s">
        <v>20</v>
      </c>
      <c r="E182" s="17">
        <f>SUM(E180:E181)</f>
        <v>979032.19</v>
      </c>
      <c r="F182" s="8"/>
      <c r="G182" s="28"/>
      <c r="Q182" s="28">
        <f>979032.19-E182</f>
        <v>0</v>
      </c>
    </row>
    <row r="183" spans="1:17" x14ac:dyDescent="0.25">
      <c r="A183" s="20"/>
      <c r="B183" s="20"/>
      <c r="C183" s="20"/>
      <c r="D183" s="20"/>
      <c r="E183" s="20"/>
      <c r="F183" s="20"/>
    </row>
    <row r="184" spans="1:17" x14ac:dyDescent="0.25">
      <c r="A184" s="164" t="s">
        <v>190</v>
      </c>
      <c r="B184" s="164"/>
      <c r="C184" s="164"/>
      <c r="D184" s="164"/>
      <c r="E184" s="164"/>
      <c r="F184" s="20"/>
    </row>
    <row r="185" spans="1:17" x14ac:dyDescent="0.25">
      <c r="A185" s="164" t="s">
        <v>59</v>
      </c>
      <c r="B185" s="164"/>
      <c r="C185" s="164"/>
      <c r="D185" s="164"/>
      <c r="E185" s="164"/>
      <c r="F185" s="20"/>
    </row>
    <row r="186" spans="1:17" ht="18.75" thickBot="1" x14ac:dyDescent="0.3">
      <c r="A186" s="8"/>
      <c r="F186" s="20"/>
      <c r="G186" s="28"/>
    </row>
    <row r="187" spans="1:17" x14ac:dyDescent="0.25">
      <c r="A187" s="208" t="s">
        <v>13</v>
      </c>
      <c r="B187" s="210" t="s">
        <v>14</v>
      </c>
      <c r="C187" s="210" t="s">
        <v>56</v>
      </c>
      <c r="D187" s="210" t="s">
        <v>57</v>
      </c>
      <c r="E187" s="210" t="s">
        <v>121</v>
      </c>
      <c r="F187" s="217" t="s">
        <v>66</v>
      </c>
    </row>
    <row r="188" spans="1:17" ht="18.75" thickBot="1" x14ac:dyDescent="0.3">
      <c r="A188" s="209"/>
      <c r="B188" s="211"/>
      <c r="C188" s="211"/>
      <c r="D188" s="211"/>
      <c r="E188" s="211"/>
      <c r="F188" s="218"/>
    </row>
    <row r="189" spans="1:17" x14ac:dyDescent="0.25">
      <c r="A189" s="145">
        <v>1</v>
      </c>
      <c r="B189" s="128">
        <v>2</v>
      </c>
      <c r="C189" s="128">
        <v>3</v>
      </c>
      <c r="D189" s="128">
        <v>4</v>
      </c>
      <c r="E189" s="128">
        <v>5</v>
      </c>
      <c r="F189" s="130">
        <v>6</v>
      </c>
    </row>
    <row r="190" spans="1:17" x14ac:dyDescent="0.25">
      <c r="A190" s="48">
        <v>1</v>
      </c>
      <c r="B190" s="7" t="s">
        <v>195</v>
      </c>
      <c r="C190" s="35">
        <v>0</v>
      </c>
      <c r="D190" s="7">
        <v>2</v>
      </c>
      <c r="E190" s="35">
        <v>5534.927999999999</v>
      </c>
      <c r="F190" s="98" t="s">
        <v>12</v>
      </c>
    </row>
    <row r="191" spans="1:17" x14ac:dyDescent="0.25">
      <c r="A191" s="119">
        <v>2</v>
      </c>
      <c r="B191" s="92" t="s">
        <v>58</v>
      </c>
      <c r="C191" s="93">
        <v>117271230</v>
      </c>
      <c r="D191" s="92">
        <v>1.5</v>
      </c>
      <c r="E191" s="35">
        <f>45967.932+4039.44</f>
        <v>50007.372000000003</v>
      </c>
      <c r="F191" s="98" t="s">
        <v>12</v>
      </c>
    </row>
    <row r="192" spans="1:17" ht="18.75" thickBot="1" x14ac:dyDescent="0.3">
      <c r="A192" s="119">
        <v>3</v>
      </c>
      <c r="B192" s="92" t="s">
        <v>191</v>
      </c>
      <c r="C192" s="93"/>
      <c r="D192" s="92"/>
      <c r="E192" s="93">
        <v>1000</v>
      </c>
      <c r="F192" s="100" t="s">
        <v>12</v>
      </c>
    </row>
    <row r="193" spans="1:17" ht="18" customHeight="1" thickBot="1" x14ac:dyDescent="0.3">
      <c r="A193" s="215" t="s">
        <v>19</v>
      </c>
      <c r="B193" s="216"/>
      <c r="C193" s="126" t="s">
        <v>20</v>
      </c>
      <c r="D193" s="126" t="s">
        <v>20</v>
      </c>
      <c r="E193" s="114">
        <f>SUM(E190:E192)</f>
        <v>56542.3</v>
      </c>
      <c r="F193" s="133"/>
      <c r="Q193" s="28">
        <f>55542.3+1000-E193</f>
        <v>0</v>
      </c>
    </row>
    <row r="194" spans="1:17" x14ac:dyDescent="0.25">
      <c r="A194" s="20"/>
      <c r="B194" s="20"/>
      <c r="C194" s="13"/>
      <c r="D194" s="13"/>
      <c r="E194" s="39"/>
      <c r="F194" s="20"/>
    </row>
    <row r="195" spans="1:17" x14ac:dyDescent="0.25">
      <c r="A195" s="164" t="s">
        <v>151</v>
      </c>
      <c r="B195" s="164"/>
      <c r="C195" s="164"/>
      <c r="D195" s="164"/>
      <c r="E195" s="164"/>
    </row>
    <row r="196" spans="1:17" x14ac:dyDescent="0.25">
      <c r="A196" s="87"/>
      <c r="B196" s="84"/>
      <c r="C196" s="84"/>
      <c r="D196" s="84"/>
      <c r="E196" s="84"/>
    </row>
    <row r="197" spans="1:17" x14ac:dyDescent="0.25">
      <c r="A197" s="164" t="s">
        <v>60</v>
      </c>
      <c r="B197" s="164"/>
      <c r="C197" s="164"/>
      <c r="D197" s="164"/>
      <c r="E197" s="164"/>
    </row>
    <row r="198" spans="1:17" x14ac:dyDescent="0.25">
      <c r="A198" s="164" t="s">
        <v>61</v>
      </c>
      <c r="B198" s="164"/>
      <c r="C198" s="164"/>
      <c r="D198" s="164"/>
      <c r="E198" s="164"/>
    </row>
    <row r="199" spans="1:17" ht="18.75" thickBot="1" x14ac:dyDescent="0.3">
      <c r="A199" s="8"/>
    </row>
    <row r="200" spans="1:17" x14ac:dyDescent="0.25">
      <c r="A200" s="198" t="s">
        <v>13</v>
      </c>
      <c r="B200" s="198" t="s">
        <v>50</v>
      </c>
      <c r="C200" s="198" t="s">
        <v>51</v>
      </c>
      <c r="D200" s="198" t="s">
        <v>52</v>
      </c>
      <c r="E200" s="198" t="s">
        <v>53</v>
      </c>
      <c r="F200" s="8"/>
    </row>
    <row r="201" spans="1:17" ht="18.75" thickBot="1" x14ac:dyDescent="0.3">
      <c r="A201" s="207"/>
      <c r="B201" s="207"/>
      <c r="C201" s="199"/>
      <c r="D201" s="199"/>
      <c r="E201" s="199"/>
      <c r="F201" s="8"/>
    </row>
    <row r="202" spans="1:17" x14ac:dyDescent="0.25">
      <c r="A202" s="33">
        <v>1</v>
      </c>
      <c r="B202" s="34">
        <v>2</v>
      </c>
      <c r="C202" s="34">
        <v>3</v>
      </c>
      <c r="D202" s="34">
        <v>4</v>
      </c>
      <c r="E202" s="34">
        <v>5</v>
      </c>
      <c r="F202" s="8"/>
    </row>
    <row r="203" spans="1:17" x14ac:dyDescent="0.25">
      <c r="A203" s="48"/>
      <c r="B203" s="7"/>
      <c r="C203" s="7"/>
      <c r="D203" s="7"/>
      <c r="E203" s="96"/>
      <c r="F203" s="8"/>
    </row>
    <row r="204" spans="1:17" ht="18.75" thickBot="1" x14ac:dyDescent="0.3">
      <c r="A204" s="213" t="s">
        <v>19</v>
      </c>
      <c r="B204" s="214"/>
      <c r="C204" s="36" t="s">
        <v>20</v>
      </c>
      <c r="D204" s="36" t="s">
        <v>25</v>
      </c>
      <c r="E204" s="36"/>
      <c r="F204" s="8"/>
    </row>
    <row r="205" spans="1:17" x14ac:dyDescent="0.25">
      <c r="A205" s="180"/>
      <c r="B205" s="181"/>
      <c r="C205" s="181"/>
      <c r="D205" s="181"/>
      <c r="E205" s="182"/>
      <c r="F205" s="219"/>
    </row>
    <row r="206" spans="1:17" ht="18.75" thickBot="1" x14ac:dyDescent="0.3">
      <c r="A206" s="213" t="s">
        <v>62</v>
      </c>
      <c r="B206" s="220"/>
      <c r="C206" s="220"/>
      <c r="D206" s="220"/>
      <c r="E206" s="221"/>
      <c r="F206" s="219"/>
    </row>
    <row r="207" spans="1:17" x14ac:dyDescent="0.25">
      <c r="A207" s="8"/>
    </row>
    <row r="208" spans="1:17" x14ac:dyDescent="0.25">
      <c r="A208" s="164" t="s">
        <v>150</v>
      </c>
      <c r="B208" s="164"/>
      <c r="C208" s="164"/>
      <c r="D208" s="164"/>
      <c r="E208" s="164"/>
    </row>
    <row r="209" spans="1:9" x14ac:dyDescent="0.25">
      <c r="A209" s="87"/>
      <c r="B209" s="84"/>
      <c r="C209" s="84"/>
      <c r="D209" s="84"/>
      <c r="E209" s="84"/>
    </row>
    <row r="210" spans="1:9" x14ac:dyDescent="0.25">
      <c r="A210" s="164" t="s">
        <v>99</v>
      </c>
      <c r="B210" s="164"/>
      <c r="C210" s="164"/>
      <c r="D210" s="164"/>
      <c r="E210" s="164"/>
    </row>
    <row r="211" spans="1:9" x14ac:dyDescent="0.25">
      <c r="A211" s="164" t="s">
        <v>98</v>
      </c>
      <c r="B211" s="164"/>
      <c r="C211" s="164"/>
      <c r="D211" s="164"/>
      <c r="E211" s="164"/>
    </row>
    <row r="212" spans="1:9" ht="18.75" thickBot="1" x14ac:dyDescent="0.3">
      <c r="A212" s="8"/>
    </row>
    <row r="213" spans="1:9" x14ac:dyDescent="0.25">
      <c r="A213" s="208" t="s">
        <v>13</v>
      </c>
      <c r="B213" s="210" t="s">
        <v>50</v>
      </c>
      <c r="C213" s="210" t="s">
        <v>51</v>
      </c>
      <c r="D213" s="210" t="s">
        <v>52</v>
      </c>
      <c r="E213" s="217" t="s">
        <v>53</v>
      </c>
      <c r="F213" s="8"/>
    </row>
    <row r="214" spans="1:9" ht="18.75" thickBot="1" x14ac:dyDescent="0.3">
      <c r="A214" s="209"/>
      <c r="B214" s="211"/>
      <c r="C214" s="211"/>
      <c r="D214" s="211"/>
      <c r="E214" s="218"/>
      <c r="F214" s="8"/>
    </row>
    <row r="215" spans="1:9" ht="18.75" thickBot="1" x14ac:dyDescent="0.3">
      <c r="A215" s="65">
        <v>1</v>
      </c>
      <c r="B215" s="66">
        <v>2</v>
      </c>
      <c r="C215" s="66">
        <v>3</v>
      </c>
      <c r="D215" s="66">
        <v>4</v>
      </c>
      <c r="E215" s="67">
        <v>5</v>
      </c>
      <c r="F215" s="8"/>
    </row>
    <row r="216" spans="1:9" ht="18.75" thickBot="1" x14ac:dyDescent="0.3">
      <c r="A216" s="131">
        <v>1</v>
      </c>
      <c r="B216" s="105"/>
      <c r="C216" s="105"/>
      <c r="D216" s="105"/>
      <c r="E216" s="132"/>
      <c r="F216" s="8"/>
    </row>
    <row r="217" spans="1:9" ht="18.75" thickBot="1" x14ac:dyDescent="0.3">
      <c r="A217" s="215" t="s">
        <v>19</v>
      </c>
      <c r="B217" s="216"/>
      <c r="C217" s="66" t="s">
        <v>20</v>
      </c>
      <c r="D217" s="66" t="s">
        <v>25</v>
      </c>
      <c r="E217" s="67">
        <f>E216</f>
        <v>0</v>
      </c>
      <c r="F217" s="8"/>
    </row>
    <row r="218" spans="1:9" ht="18.75" thickBot="1" x14ac:dyDescent="0.3">
      <c r="A218" s="215" t="s">
        <v>62</v>
      </c>
      <c r="B218" s="216"/>
      <c r="C218" s="216"/>
      <c r="D218" s="216"/>
      <c r="E218" s="222"/>
      <c r="F218" s="20"/>
    </row>
    <row r="219" spans="1:9" x14ac:dyDescent="0.25">
      <c r="A219" s="8"/>
    </row>
    <row r="220" spans="1:9" ht="18.75" customHeight="1" x14ac:dyDescent="0.25">
      <c r="A220" s="164" t="s">
        <v>152</v>
      </c>
      <c r="B220" s="164"/>
      <c r="C220" s="164"/>
      <c r="D220" s="164"/>
      <c r="E220" s="164"/>
      <c r="F220" s="164"/>
      <c r="G220" s="164"/>
      <c r="H220" s="164"/>
      <c r="I220" s="3"/>
    </row>
    <row r="221" spans="1:9" x14ac:dyDescent="0.25">
      <c r="A221" s="87"/>
      <c r="B221" s="84"/>
      <c r="C221" s="84"/>
      <c r="D221" s="84"/>
      <c r="E221" s="84"/>
      <c r="F221" s="84"/>
      <c r="G221" s="84"/>
      <c r="H221" s="84"/>
      <c r="I221" s="84"/>
    </row>
    <row r="222" spans="1:9" ht="18.75" customHeight="1" x14ac:dyDescent="0.25">
      <c r="A222" s="164" t="s">
        <v>104</v>
      </c>
      <c r="B222" s="164"/>
      <c r="C222" s="164"/>
      <c r="D222" s="164"/>
      <c r="E222" s="164"/>
      <c r="F222" s="164"/>
      <c r="G222" s="164"/>
      <c r="H222" s="164"/>
      <c r="I222" s="3"/>
    </row>
    <row r="223" spans="1:9" ht="18.75" customHeight="1" x14ac:dyDescent="0.25">
      <c r="A223" s="164" t="s">
        <v>55</v>
      </c>
      <c r="B223" s="164"/>
      <c r="C223" s="164"/>
      <c r="D223" s="164"/>
      <c r="E223" s="164"/>
      <c r="F223" s="164"/>
      <c r="G223" s="164"/>
      <c r="H223" s="164"/>
      <c r="I223" s="3"/>
    </row>
    <row r="224" spans="1:9" x14ac:dyDescent="0.25">
      <c r="A224" s="87"/>
      <c r="B224" s="84"/>
      <c r="C224" s="84"/>
      <c r="D224" s="84"/>
      <c r="E224" s="84"/>
      <c r="F224" s="84"/>
      <c r="G224" s="84"/>
      <c r="H224" s="84"/>
      <c r="I224" s="84"/>
    </row>
    <row r="225" spans="1:17" ht="18.75" customHeight="1" x14ac:dyDescent="0.25">
      <c r="A225" s="164" t="s">
        <v>153</v>
      </c>
      <c r="B225" s="164"/>
      <c r="C225" s="164"/>
      <c r="D225" s="164"/>
      <c r="E225" s="164"/>
      <c r="F225" s="164"/>
      <c r="G225" s="164"/>
      <c r="H225" s="164"/>
      <c r="I225" s="3"/>
    </row>
    <row r="226" spans="1:17" ht="18.75" thickBot="1" x14ac:dyDescent="0.3">
      <c r="A226" s="8"/>
    </row>
    <row r="227" spans="1:17" ht="18" customHeight="1" x14ac:dyDescent="0.25">
      <c r="A227" s="208" t="s">
        <v>13</v>
      </c>
      <c r="B227" s="210" t="s">
        <v>14</v>
      </c>
      <c r="C227" s="210" t="s">
        <v>63</v>
      </c>
      <c r="D227" s="210" t="s">
        <v>64</v>
      </c>
      <c r="E227" s="210" t="s">
        <v>65</v>
      </c>
      <c r="F227" s="210" t="s">
        <v>18</v>
      </c>
      <c r="G227" s="217" t="s">
        <v>66</v>
      </c>
      <c r="H227" s="8"/>
      <c r="I227" s="8"/>
    </row>
    <row r="228" spans="1:17" ht="18.75" thickBot="1" x14ac:dyDescent="0.3">
      <c r="A228" s="209"/>
      <c r="B228" s="211"/>
      <c r="C228" s="211"/>
      <c r="D228" s="211"/>
      <c r="E228" s="211"/>
      <c r="F228" s="211"/>
      <c r="G228" s="218"/>
      <c r="H228" s="8"/>
      <c r="I228" s="8"/>
    </row>
    <row r="229" spans="1:17" ht="18.75" thickBot="1" x14ac:dyDescent="0.3">
      <c r="A229" s="108">
        <v>1</v>
      </c>
      <c r="B229" s="56">
        <v>2</v>
      </c>
      <c r="C229" s="56">
        <v>3</v>
      </c>
      <c r="D229" s="56">
        <v>4</v>
      </c>
      <c r="E229" s="56">
        <v>5</v>
      </c>
      <c r="F229" s="56">
        <v>6</v>
      </c>
      <c r="G229" s="109">
        <v>7</v>
      </c>
      <c r="H229" s="8"/>
      <c r="I229" s="8"/>
    </row>
    <row r="230" spans="1:17" x14ac:dyDescent="0.25">
      <c r="A230" s="102">
        <v>1</v>
      </c>
      <c r="B230" s="89" t="s">
        <v>67</v>
      </c>
      <c r="C230" s="89">
        <v>5</v>
      </c>
      <c r="D230" s="89">
        <v>12</v>
      </c>
      <c r="E230" s="90">
        <v>1081.5999999999999</v>
      </c>
      <c r="F230" s="90">
        <v>13200</v>
      </c>
      <c r="G230" s="103" t="s">
        <v>68</v>
      </c>
      <c r="H230" s="8"/>
      <c r="I230" s="8"/>
    </row>
    <row r="231" spans="1:17" ht="18.75" thickBot="1" x14ac:dyDescent="0.3">
      <c r="A231" s="99">
        <v>2</v>
      </c>
      <c r="B231" s="92" t="s">
        <v>107</v>
      </c>
      <c r="C231" s="92">
        <v>5</v>
      </c>
      <c r="D231" s="92">
        <v>12</v>
      </c>
      <c r="E231" s="93">
        <f>F231/D231</f>
        <v>4081.25</v>
      </c>
      <c r="F231" s="93">
        <f>49000-25</f>
        <v>48975</v>
      </c>
      <c r="G231" s="100" t="s">
        <v>68</v>
      </c>
      <c r="H231" s="8"/>
      <c r="I231" s="8"/>
      <c r="Q231" s="28">
        <f>62175-F232</f>
        <v>0</v>
      </c>
    </row>
    <row r="232" spans="1:17" ht="18.75" thickBot="1" x14ac:dyDescent="0.3">
      <c r="A232" s="223" t="s">
        <v>19</v>
      </c>
      <c r="B232" s="224"/>
      <c r="C232" s="128" t="s">
        <v>25</v>
      </c>
      <c r="D232" s="128" t="s">
        <v>25</v>
      </c>
      <c r="E232" s="128" t="s">
        <v>25</v>
      </c>
      <c r="F232" s="129">
        <f>SUM(F230:F231)</f>
        <v>62175</v>
      </c>
      <c r="G232" s="130" t="s">
        <v>25</v>
      </c>
      <c r="H232" s="8"/>
      <c r="I232" s="8"/>
    </row>
    <row r="233" spans="1:17" s="95" customFormat="1" ht="17.25" customHeight="1" thickBot="1" x14ac:dyDescent="0.3">
      <c r="A233" s="225" t="s">
        <v>154</v>
      </c>
      <c r="B233" s="226"/>
      <c r="C233" s="226"/>
      <c r="D233" s="226"/>
      <c r="E233" s="226"/>
      <c r="F233" s="226"/>
      <c r="G233" s="227"/>
      <c r="H233" s="20"/>
      <c r="I233" s="20"/>
      <c r="J233" s="205"/>
      <c r="K233" s="94"/>
    </row>
    <row r="234" spans="1:17" ht="16.5" customHeight="1" x14ac:dyDescent="0.25">
      <c r="B234" s="20"/>
      <c r="C234" s="20"/>
      <c r="D234" s="20"/>
      <c r="E234" s="20"/>
      <c r="F234" s="20"/>
      <c r="G234" s="20"/>
      <c r="H234" s="20"/>
      <c r="I234" s="20"/>
      <c r="J234" s="219"/>
      <c r="M234" s="28"/>
    </row>
    <row r="235" spans="1:17" ht="16.5" customHeight="1" x14ac:dyDescent="0.25">
      <c r="A235" s="20"/>
      <c r="B235" s="164" t="s">
        <v>104</v>
      </c>
      <c r="C235" s="164"/>
      <c r="D235" s="164"/>
      <c r="E235" s="164"/>
      <c r="F235" s="164"/>
      <c r="G235" s="164"/>
      <c r="H235" s="164"/>
      <c r="I235" s="164"/>
      <c r="J235" s="164"/>
      <c r="M235" s="28"/>
    </row>
    <row r="236" spans="1:17" ht="16.5" customHeight="1" x14ac:dyDescent="0.25">
      <c r="A236" s="20"/>
      <c r="B236" s="164" t="s">
        <v>155</v>
      </c>
      <c r="C236" s="164"/>
      <c r="D236" s="164"/>
      <c r="E236" s="164"/>
      <c r="F236" s="164"/>
      <c r="G236" s="164"/>
      <c r="H236" s="164"/>
      <c r="I236" s="164"/>
      <c r="J236" s="164"/>
    </row>
    <row r="237" spans="1:17" ht="16.5" customHeight="1" thickBot="1" x14ac:dyDescent="0.3">
      <c r="A237" s="20"/>
      <c r="B237" s="3"/>
      <c r="C237" s="3"/>
      <c r="D237" s="3"/>
      <c r="E237" s="3"/>
      <c r="F237" s="3"/>
      <c r="G237" s="3"/>
      <c r="H237" s="3"/>
      <c r="I237" s="3"/>
      <c r="J237" s="3"/>
    </row>
    <row r="238" spans="1:17" ht="18" customHeight="1" x14ac:dyDescent="0.25">
      <c r="A238" s="208" t="s">
        <v>13</v>
      </c>
      <c r="B238" s="210" t="s">
        <v>14</v>
      </c>
      <c r="C238" s="210" t="s">
        <v>63</v>
      </c>
      <c r="D238" s="210" t="s">
        <v>64</v>
      </c>
      <c r="E238" s="210" t="s">
        <v>65</v>
      </c>
      <c r="F238" s="210" t="s">
        <v>18</v>
      </c>
      <c r="G238" s="217" t="s">
        <v>66</v>
      </c>
      <c r="H238" s="8"/>
      <c r="I238" s="8"/>
    </row>
    <row r="239" spans="1:17" ht="18.75" thickBot="1" x14ac:dyDescent="0.3">
      <c r="A239" s="209"/>
      <c r="B239" s="211"/>
      <c r="C239" s="211"/>
      <c r="D239" s="211"/>
      <c r="E239" s="211"/>
      <c r="F239" s="211"/>
      <c r="G239" s="218"/>
      <c r="H239" s="8"/>
      <c r="I239" s="8"/>
    </row>
    <row r="240" spans="1:17" ht="18.75" thickBot="1" x14ac:dyDescent="0.3">
      <c r="A240" s="65">
        <v>1</v>
      </c>
      <c r="B240" s="66">
        <v>2</v>
      </c>
      <c r="C240" s="66">
        <v>3</v>
      </c>
      <c r="D240" s="66">
        <v>4</v>
      </c>
      <c r="E240" s="66">
        <v>5</v>
      </c>
      <c r="F240" s="66">
        <v>6</v>
      </c>
      <c r="G240" s="67">
        <v>7</v>
      </c>
      <c r="H240" s="8"/>
      <c r="I240" s="8"/>
    </row>
    <row r="241" spans="1:10" ht="18.75" thickBot="1" x14ac:dyDescent="0.3">
      <c r="A241" s="104">
        <v>1</v>
      </c>
      <c r="B241" s="105" t="s">
        <v>67</v>
      </c>
      <c r="C241" s="105">
        <v>5</v>
      </c>
      <c r="D241" s="105">
        <v>12</v>
      </c>
      <c r="E241" s="106">
        <f>F241/D241</f>
        <v>985.41666666666663</v>
      </c>
      <c r="F241" s="106">
        <v>11825</v>
      </c>
      <c r="G241" s="107" t="s">
        <v>12</v>
      </c>
      <c r="H241" s="8"/>
      <c r="I241" s="8"/>
    </row>
    <row r="242" spans="1:10" x14ac:dyDescent="0.25">
      <c r="A242" s="208" t="s">
        <v>19</v>
      </c>
      <c r="B242" s="210"/>
      <c r="C242" s="58" t="s">
        <v>25</v>
      </c>
      <c r="D242" s="58" t="s">
        <v>25</v>
      </c>
      <c r="E242" s="58" t="s">
        <v>25</v>
      </c>
      <c r="F242" s="127">
        <f>SUM(F241:F241)</f>
        <v>11825</v>
      </c>
      <c r="G242" s="59" t="s">
        <v>25</v>
      </c>
      <c r="H242" s="8"/>
      <c r="I242" s="8"/>
    </row>
    <row r="243" spans="1:10" ht="16.5" customHeight="1" thickBot="1" x14ac:dyDescent="0.3">
      <c r="A243" s="228" t="s">
        <v>154</v>
      </c>
      <c r="B243" s="229"/>
      <c r="C243" s="229"/>
      <c r="D243" s="229"/>
      <c r="E243" s="229"/>
      <c r="F243" s="229"/>
      <c r="G243" s="230"/>
      <c r="H243" s="20"/>
      <c r="I243" s="20"/>
      <c r="J243" s="20"/>
    </row>
    <row r="244" spans="1:10" ht="16.5" customHeight="1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</row>
    <row r="245" spans="1:10" x14ac:dyDescent="0.25">
      <c r="A245" s="8"/>
    </row>
    <row r="246" spans="1:10" ht="18.75" customHeight="1" x14ac:dyDescent="0.25">
      <c r="A246" s="164" t="s">
        <v>157</v>
      </c>
      <c r="B246" s="164"/>
      <c r="C246" s="164"/>
      <c r="D246" s="164"/>
      <c r="E246" s="164"/>
      <c r="F246" s="164"/>
      <c r="G246" s="164"/>
    </row>
    <row r="247" spans="1:10" ht="18.75" thickBot="1" x14ac:dyDescent="0.3">
      <c r="A247" s="8"/>
    </row>
    <row r="248" spans="1:10" ht="18" customHeight="1" x14ac:dyDescent="0.25">
      <c r="A248" s="208" t="s">
        <v>13</v>
      </c>
      <c r="B248" s="210" t="s">
        <v>14</v>
      </c>
      <c r="C248" s="210" t="s">
        <v>70</v>
      </c>
      <c r="D248" s="210" t="s">
        <v>71</v>
      </c>
      <c r="E248" s="210" t="s">
        <v>18</v>
      </c>
      <c r="F248" s="217" t="s">
        <v>66</v>
      </c>
      <c r="G248" s="8"/>
    </row>
    <row r="249" spans="1:10" ht="18.75" thickBot="1" x14ac:dyDescent="0.3">
      <c r="A249" s="209"/>
      <c r="B249" s="211"/>
      <c r="C249" s="211"/>
      <c r="D249" s="211"/>
      <c r="E249" s="211"/>
      <c r="F249" s="218"/>
      <c r="G249" s="8"/>
    </row>
    <row r="250" spans="1:10" x14ac:dyDescent="0.25">
      <c r="A250" s="80">
        <v>1</v>
      </c>
      <c r="B250" s="89">
        <v>2</v>
      </c>
      <c r="C250" s="89">
        <v>4</v>
      </c>
      <c r="D250" s="89">
        <v>5</v>
      </c>
      <c r="E250" s="89">
        <v>6</v>
      </c>
      <c r="F250" s="101">
        <v>7</v>
      </c>
      <c r="G250" s="8"/>
    </row>
    <row r="251" spans="1:10" ht="18.75" thickBot="1" x14ac:dyDescent="0.3">
      <c r="A251" s="119"/>
      <c r="B251" s="92"/>
      <c r="C251" s="92"/>
      <c r="D251" s="92"/>
      <c r="E251" s="92"/>
      <c r="F251" s="100"/>
      <c r="G251" s="8"/>
    </row>
    <row r="252" spans="1:10" ht="18.75" thickBot="1" x14ac:dyDescent="0.3">
      <c r="A252" s="74" t="s">
        <v>72</v>
      </c>
      <c r="B252" s="66" t="s">
        <v>20</v>
      </c>
      <c r="C252" s="66" t="s">
        <v>20</v>
      </c>
      <c r="D252" s="66" t="s">
        <v>20</v>
      </c>
      <c r="E252" s="75"/>
      <c r="F252" s="67" t="s">
        <v>25</v>
      </c>
      <c r="G252" s="8"/>
    </row>
    <row r="253" spans="1:10" ht="18" customHeight="1" thickBot="1" x14ac:dyDescent="0.3">
      <c r="A253" s="225" t="s">
        <v>156</v>
      </c>
      <c r="B253" s="226"/>
      <c r="C253" s="226"/>
      <c r="D253" s="226"/>
      <c r="E253" s="226"/>
      <c r="F253" s="227"/>
      <c r="G253" s="8"/>
    </row>
    <row r="254" spans="1:10" x14ac:dyDescent="0.25">
      <c r="A254" s="20"/>
      <c r="B254" s="13"/>
      <c r="C254" s="13"/>
      <c r="D254" s="13"/>
      <c r="E254" s="20"/>
      <c r="F254" s="13"/>
      <c r="G254" s="8"/>
    </row>
    <row r="255" spans="1:10" x14ac:dyDescent="0.25">
      <c r="A255" s="8"/>
    </row>
    <row r="256" spans="1:10" ht="18.75" customHeight="1" x14ac:dyDescent="0.25">
      <c r="A256" s="164" t="s">
        <v>158</v>
      </c>
      <c r="B256" s="164"/>
      <c r="C256" s="164"/>
      <c r="D256" s="164"/>
      <c r="E256" s="164"/>
      <c r="F256" s="164"/>
      <c r="G256" s="164"/>
      <c r="H256" s="164"/>
      <c r="I256" s="3"/>
    </row>
    <row r="257" spans="1:17" ht="18.75" thickBot="1" x14ac:dyDescent="0.3">
      <c r="A257" s="8"/>
    </row>
    <row r="258" spans="1:17" ht="18" customHeight="1" x14ac:dyDescent="0.25">
      <c r="A258" s="208" t="s">
        <v>13</v>
      </c>
      <c r="B258" s="210" t="s">
        <v>50</v>
      </c>
      <c r="C258" s="210" t="s">
        <v>73</v>
      </c>
      <c r="D258" s="210" t="s">
        <v>74</v>
      </c>
      <c r="E258" s="210" t="s">
        <v>75</v>
      </c>
      <c r="F258" s="210" t="s">
        <v>18</v>
      </c>
      <c r="G258" s="217" t="s">
        <v>66</v>
      </c>
      <c r="H258" s="13"/>
      <c r="I258" s="8"/>
    </row>
    <row r="259" spans="1:17" ht="18.75" thickBot="1" x14ac:dyDescent="0.3">
      <c r="A259" s="234"/>
      <c r="B259" s="235"/>
      <c r="C259" s="235"/>
      <c r="D259" s="235"/>
      <c r="E259" s="235"/>
      <c r="F259" s="235"/>
      <c r="G259" s="236"/>
      <c r="H259" s="13"/>
      <c r="I259" s="8"/>
    </row>
    <row r="260" spans="1:17" ht="18.75" thickBot="1" x14ac:dyDescent="0.3">
      <c r="A260" s="65">
        <v>1</v>
      </c>
      <c r="B260" s="66">
        <v>2</v>
      </c>
      <c r="C260" s="66">
        <v>3</v>
      </c>
      <c r="D260" s="66">
        <v>4</v>
      </c>
      <c r="E260" s="66">
        <v>5</v>
      </c>
      <c r="F260" s="66">
        <v>6</v>
      </c>
      <c r="G260" s="67">
        <v>7</v>
      </c>
      <c r="H260" s="13"/>
      <c r="I260" s="8"/>
    </row>
    <row r="261" spans="1:17" x14ac:dyDescent="0.25">
      <c r="A261" s="102">
        <v>1</v>
      </c>
      <c r="B261" s="89" t="s">
        <v>76</v>
      </c>
      <c r="C261" s="125">
        <v>10627.3274</v>
      </c>
      <c r="D261" s="89">
        <v>7.02</v>
      </c>
      <c r="E261" s="89">
        <v>4.5999999999999996</v>
      </c>
      <c r="F261" s="90">
        <v>849240.84</v>
      </c>
      <c r="G261" s="103" t="s">
        <v>68</v>
      </c>
      <c r="H261" s="20"/>
      <c r="I261" s="8">
        <f>F261/12</f>
        <v>70770.069999999992</v>
      </c>
      <c r="J261" s="10">
        <v>10627.3274</v>
      </c>
      <c r="K261" s="28">
        <f>J261*D261*6</f>
        <v>447623.03008799994</v>
      </c>
      <c r="L261" s="10">
        <f>J261*7.34*6</f>
        <v>468027.49869599997</v>
      </c>
      <c r="M261" s="28">
        <f>K261+L261</f>
        <v>915650.52878399985</v>
      </c>
      <c r="N261" s="28">
        <f>F261-M261</f>
        <v>-66409.688783999882</v>
      </c>
    </row>
    <row r="262" spans="1:17" x14ac:dyDescent="0.25">
      <c r="A262" s="97">
        <v>2</v>
      </c>
      <c r="B262" s="7" t="s">
        <v>77</v>
      </c>
      <c r="C262" s="37">
        <v>465.3999</v>
      </c>
      <c r="D262" s="7">
        <v>35.78</v>
      </c>
      <c r="E262" s="7">
        <v>4.5999999999999996</v>
      </c>
      <c r="F262" s="35">
        <v>111108.69</v>
      </c>
      <c r="G262" s="98" t="s">
        <v>68</v>
      </c>
      <c r="H262" s="20"/>
      <c r="I262" s="8">
        <f>F262/12</f>
        <v>9259.0575000000008</v>
      </c>
      <c r="J262" s="10">
        <v>465.3999</v>
      </c>
      <c r="K262" s="28">
        <f>J262*D262*6</f>
        <v>99912.050531999994</v>
      </c>
      <c r="L262" s="10">
        <f>J262*7.43*6</f>
        <v>20747.527542</v>
      </c>
      <c r="M262" s="28">
        <f>K262+L262</f>
        <v>120659.57807399999</v>
      </c>
      <c r="N262" s="28">
        <f>F262-M262</f>
        <v>-9550.8880739999877</v>
      </c>
    </row>
    <row r="263" spans="1:17" x14ac:dyDescent="0.25">
      <c r="A263" s="97">
        <v>3</v>
      </c>
      <c r="B263" s="7" t="s">
        <v>78</v>
      </c>
      <c r="C263" s="37">
        <v>117.418476</v>
      </c>
      <c r="D263" s="7">
        <v>1911.34</v>
      </c>
      <c r="E263" s="7">
        <v>4.5999999999999996</v>
      </c>
      <c r="F263" s="35">
        <f>909193.95-64127.96-319000</f>
        <v>526065.99</v>
      </c>
      <c r="G263" s="98" t="s">
        <v>68</v>
      </c>
      <c r="H263" s="20"/>
      <c r="I263" s="8">
        <f>F263/9</f>
        <v>58451.776666666665</v>
      </c>
      <c r="J263" s="10">
        <v>117.418476</v>
      </c>
      <c r="K263" s="28">
        <f>J263*D263*4.5</f>
        <v>1009919.8346302799</v>
      </c>
      <c r="L263" s="10">
        <f>J263*1999.26*4.5</f>
        <v>1056375.2804749201</v>
      </c>
      <c r="M263" s="28">
        <f>K263+L263</f>
        <v>2066295.1151052001</v>
      </c>
      <c r="N263" s="28">
        <f>F263-M263</f>
        <v>-1540229.1251052001</v>
      </c>
    </row>
    <row r="264" spans="1:17" ht="18.75" thickBot="1" x14ac:dyDescent="0.3">
      <c r="A264" s="99">
        <v>4</v>
      </c>
      <c r="B264" s="92" t="s">
        <v>108</v>
      </c>
      <c r="C264" s="92"/>
      <c r="D264" s="112">
        <f>F264/12</f>
        <v>5132.04</v>
      </c>
      <c r="E264" s="92"/>
      <c r="F264" s="93">
        <v>61584.480000000003</v>
      </c>
      <c r="G264" s="100" t="s">
        <v>68</v>
      </c>
      <c r="H264" s="20"/>
      <c r="I264" s="8"/>
      <c r="M264" s="28">
        <f>SUM(M261:M263)</f>
        <v>3102605.2219631998</v>
      </c>
    </row>
    <row r="265" spans="1:17" x14ac:dyDescent="0.25">
      <c r="A265" s="237" t="s">
        <v>72</v>
      </c>
      <c r="B265" s="238"/>
      <c r="C265" s="122"/>
      <c r="D265" s="122"/>
      <c r="E265" s="122"/>
      <c r="F265" s="123">
        <f>SUM(F261:F264)</f>
        <v>1548000</v>
      </c>
      <c r="G265" s="124" t="s">
        <v>25</v>
      </c>
      <c r="H265" s="13"/>
      <c r="I265" s="27">
        <f>3164000-F265</f>
        <v>1616000</v>
      </c>
      <c r="M265" s="28"/>
      <c r="Q265" s="28">
        <f>1548000-F265</f>
        <v>0</v>
      </c>
    </row>
    <row r="266" spans="1:17" ht="16.5" customHeight="1" thickBot="1" x14ac:dyDescent="0.3">
      <c r="A266" s="231" t="s">
        <v>69</v>
      </c>
      <c r="B266" s="232"/>
      <c r="C266" s="232"/>
      <c r="D266" s="232"/>
      <c r="E266" s="232"/>
      <c r="F266" s="232"/>
      <c r="G266" s="233"/>
      <c r="H266" s="20"/>
      <c r="I266" s="20"/>
      <c r="J266" s="86"/>
    </row>
    <row r="267" spans="1:17" ht="16.5" customHeight="1" thickBot="1" x14ac:dyDescent="0.3">
      <c r="A267" s="120"/>
      <c r="B267" s="120"/>
      <c r="C267" s="120"/>
      <c r="D267" s="120"/>
      <c r="E267" s="120"/>
      <c r="F267" s="120"/>
      <c r="G267" s="120"/>
      <c r="H267" s="20"/>
      <c r="I267" s="20"/>
      <c r="J267" s="20"/>
      <c r="K267" s="28"/>
    </row>
    <row r="268" spans="1:17" ht="16.5" customHeight="1" x14ac:dyDescent="0.25">
      <c r="A268" s="208" t="s">
        <v>13</v>
      </c>
      <c r="B268" s="210" t="s">
        <v>50</v>
      </c>
      <c r="C268" s="210" t="s">
        <v>73</v>
      </c>
      <c r="D268" s="210" t="s">
        <v>74</v>
      </c>
      <c r="E268" s="210" t="s">
        <v>75</v>
      </c>
      <c r="F268" s="210" t="s">
        <v>18</v>
      </c>
      <c r="G268" s="217" t="s">
        <v>66</v>
      </c>
      <c r="H268" s="13"/>
      <c r="I268" s="20"/>
      <c r="K268" s="28"/>
    </row>
    <row r="269" spans="1:17" ht="16.5" customHeight="1" thickBot="1" x14ac:dyDescent="0.3">
      <c r="A269" s="209"/>
      <c r="B269" s="211"/>
      <c r="C269" s="211"/>
      <c r="D269" s="211"/>
      <c r="E269" s="211"/>
      <c r="F269" s="211"/>
      <c r="G269" s="218"/>
      <c r="H269" s="13"/>
      <c r="I269" s="20"/>
    </row>
    <row r="270" spans="1:17" ht="16.5" customHeight="1" x14ac:dyDescent="0.25">
      <c r="A270" s="64">
        <v>1</v>
      </c>
      <c r="B270" s="72">
        <v>2</v>
      </c>
      <c r="C270" s="72">
        <v>4</v>
      </c>
      <c r="D270" s="72">
        <v>5</v>
      </c>
      <c r="E270" s="72">
        <v>6</v>
      </c>
      <c r="F270" s="72">
        <v>7</v>
      </c>
      <c r="G270" s="73">
        <v>8</v>
      </c>
      <c r="H270" s="13"/>
      <c r="I270" s="20"/>
    </row>
    <row r="271" spans="1:17" x14ac:dyDescent="0.25">
      <c r="A271" s="97">
        <v>1</v>
      </c>
      <c r="B271" s="7" t="s">
        <v>76</v>
      </c>
      <c r="C271" s="37">
        <v>722.81399999999996</v>
      </c>
      <c r="D271" s="7">
        <v>7.02</v>
      </c>
      <c r="E271" s="7">
        <v>4.5999999999999996</v>
      </c>
      <c r="F271" s="35">
        <v>60320.55</v>
      </c>
      <c r="G271" s="98" t="s">
        <v>12</v>
      </c>
      <c r="H271" s="20"/>
      <c r="I271" s="20">
        <v>722.81399999999996</v>
      </c>
      <c r="J271" s="10">
        <f>I271*D271*6+(I271*7.34*6)</f>
        <v>62277.654239999996</v>
      </c>
      <c r="K271" s="28">
        <f>F271-J271</f>
        <v>-1957.1042399999933</v>
      </c>
      <c r="L271" s="10">
        <f>F271/12</f>
        <v>5026.7125000000005</v>
      </c>
    </row>
    <row r="272" spans="1:17" x14ac:dyDescent="0.25">
      <c r="A272" s="97">
        <v>2</v>
      </c>
      <c r="B272" s="7" t="s">
        <v>77</v>
      </c>
      <c r="C272" s="37">
        <v>19.23011</v>
      </c>
      <c r="D272" s="7">
        <v>35.78</v>
      </c>
      <c r="E272" s="7">
        <v>4.5999999999999996</v>
      </c>
      <c r="F272" s="35">
        <v>8334.42</v>
      </c>
      <c r="G272" s="98" t="s">
        <v>12</v>
      </c>
      <c r="H272" s="20"/>
      <c r="I272" s="20">
        <v>19.23011</v>
      </c>
      <c r="J272" s="10">
        <f>I272*D272*6+(I272*37.43*6)</f>
        <v>8447.0181185999991</v>
      </c>
      <c r="K272" s="28">
        <f>F272-J272</f>
        <v>-112.598118599999</v>
      </c>
      <c r="L272" s="10">
        <f>F272/12</f>
        <v>694.53499999999997</v>
      </c>
    </row>
    <row r="273" spans="1:17" x14ac:dyDescent="0.25">
      <c r="A273" s="97">
        <v>3</v>
      </c>
      <c r="B273" s="7" t="s">
        <v>78</v>
      </c>
      <c r="C273" s="37">
        <v>7.3180509999999996</v>
      </c>
      <c r="D273" s="7">
        <v>1911.34</v>
      </c>
      <c r="E273" s="7">
        <v>4.5999999999999996</v>
      </c>
      <c r="F273" s="35">
        <f>67230.93+10917.29</f>
        <v>78148.22</v>
      </c>
      <c r="G273" s="98" t="s">
        <v>12</v>
      </c>
      <c r="H273" s="20"/>
      <c r="I273" s="20">
        <v>7.3180509999999996</v>
      </c>
      <c r="J273" s="10">
        <f>I273*D273*4.5+(I273*1999.26*4.5)</f>
        <v>128780.8660827</v>
      </c>
      <c r="K273" s="28">
        <f>F273-J273</f>
        <v>-50632.646082699997</v>
      </c>
      <c r="L273" s="10">
        <f>F273/9</f>
        <v>8683.1355555555565</v>
      </c>
    </row>
    <row r="274" spans="1:17" x14ac:dyDescent="0.25">
      <c r="A274" s="97">
        <v>4</v>
      </c>
      <c r="B274" s="7" t="s">
        <v>108</v>
      </c>
      <c r="C274" s="37"/>
      <c r="D274" s="38">
        <v>7063.9908333333333</v>
      </c>
      <c r="E274" s="7"/>
      <c r="F274" s="35">
        <v>3309.6</v>
      </c>
      <c r="G274" s="98" t="s">
        <v>12</v>
      </c>
      <c r="H274" s="20"/>
      <c r="I274" s="20"/>
      <c r="K274" s="28"/>
      <c r="Q274" s="28">
        <f>150112.79-F271-F272-F273-F274</f>
        <v>5.9117155615240335E-12</v>
      </c>
    </row>
    <row r="275" spans="1:17" x14ac:dyDescent="0.25">
      <c r="A275" s="97">
        <v>5</v>
      </c>
      <c r="B275" s="7" t="s">
        <v>76</v>
      </c>
      <c r="C275" s="37">
        <v>3106.1367</v>
      </c>
      <c r="D275" s="7">
        <v>7.02</v>
      </c>
      <c r="E275" s="7">
        <v>4.5999999999999996</v>
      </c>
      <c r="F275" s="35">
        <v>273194.40999999997</v>
      </c>
      <c r="G275" s="98" t="s">
        <v>79</v>
      </c>
      <c r="H275" s="20"/>
      <c r="I275" s="20">
        <v>3106.1367</v>
      </c>
      <c r="J275" s="10">
        <f>I275*D275*6+(I275*7.34*6)</f>
        <v>267624.73807199998</v>
      </c>
      <c r="K275" s="28">
        <f>F275-J275</f>
        <v>5569.6719279999961</v>
      </c>
      <c r="L275" s="28">
        <f>F275/12</f>
        <v>22766.200833333332</v>
      </c>
    </row>
    <row r="276" spans="1:17" x14ac:dyDescent="0.25">
      <c r="A276" s="97">
        <v>6</v>
      </c>
      <c r="B276" s="7" t="s">
        <v>77</v>
      </c>
      <c r="C276" s="37">
        <v>90.683800000000005</v>
      </c>
      <c r="D276" s="7">
        <v>35.78</v>
      </c>
      <c r="E276" s="7">
        <v>4.5999999999999996</v>
      </c>
      <c r="F276" s="35">
        <v>43976.86</v>
      </c>
      <c r="G276" s="98" t="s">
        <v>79</v>
      </c>
      <c r="H276" s="20"/>
      <c r="I276" s="20">
        <v>90.683800000000005</v>
      </c>
      <c r="J276" s="10">
        <f>I276*D276*6+(I276*37.43*6)</f>
        <v>39833.765987999999</v>
      </c>
      <c r="K276" s="28">
        <f>F276-J276</f>
        <v>4143.0940120000014</v>
      </c>
      <c r="L276" s="28">
        <f>F276/12</f>
        <v>3664.7383333333332</v>
      </c>
    </row>
    <row r="277" spans="1:17" ht="18.75" thickBot="1" x14ac:dyDescent="0.3">
      <c r="A277" s="99">
        <v>7</v>
      </c>
      <c r="B277" s="92" t="s">
        <v>78</v>
      </c>
      <c r="C277" s="121">
        <v>21.624501500000001</v>
      </c>
      <c r="D277" s="92">
        <v>1911.34</v>
      </c>
      <c r="E277" s="92">
        <v>4.5999999999999996</v>
      </c>
      <c r="F277" s="93">
        <f>341828.72+0.01</f>
        <v>341828.73</v>
      </c>
      <c r="G277" s="100" t="s">
        <v>79</v>
      </c>
      <c r="H277" s="20"/>
      <c r="I277" s="20">
        <v>21.624501500000001</v>
      </c>
      <c r="J277" s="10">
        <f>I277*D277*4.5+(I277*1999.26*4.5)</f>
        <v>380541.49004655005</v>
      </c>
      <c r="K277" s="28">
        <f>F277-J277</f>
        <v>-38712.760046550073</v>
      </c>
      <c r="L277" s="28">
        <f>F277/9</f>
        <v>37980.97</v>
      </c>
    </row>
    <row r="278" spans="1:17" ht="16.5" customHeight="1" thickBot="1" x14ac:dyDescent="0.3">
      <c r="A278" s="244" t="s">
        <v>72</v>
      </c>
      <c r="B278" s="245"/>
      <c r="C278" s="66" t="s">
        <v>20</v>
      </c>
      <c r="D278" s="66" t="s">
        <v>20</v>
      </c>
      <c r="E278" s="66" t="s">
        <v>20</v>
      </c>
      <c r="F278" s="114">
        <f>SUM(F271:F277)</f>
        <v>809112.78999999992</v>
      </c>
      <c r="G278" s="67" t="s">
        <v>25</v>
      </c>
      <c r="H278" s="13"/>
      <c r="I278" s="20"/>
      <c r="K278" s="28">
        <f>F275+F276+F277-J275-J276-J277</f>
        <v>-28999.994106550002</v>
      </c>
      <c r="Q278" s="28">
        <f>659000-F275-F276-F277</f>
        <v>0</v>
      </c>
    </row>
    <row r="279" spans="1:17" ht="16.5" customHeight="1" thickBot="1" x14ac:dyDescent="0.3">
      <c r="A279" s="225" t="s">
        <v>69</v>
      </c>
      <c r="B279" s="226"/>
      <c r="C279" s="226"/>
      <c r="D279" s="226"/>
      <c r="E279" s="226"/>
      <c r="F279" s="226"/>
      <c r="G279" s="227"/>
      <c r="H279" s="20"/>
      <c r="I279" s="20"/>
      <c r="J279" s="86"/>
    </row>
    <row r="280" spans="1:17" ht="16.5" customHeight="1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</row>
    <row r="281" spans="1:17" x14ac:dyDescent="0.25">
      <c r="A281" s="8"/>
    </row>
    <row r="282" spans="1:17" ht="18.75" customHeight="1" x14ac:dyDescent="0.25">
      <c r="A282" s="164" t="s">
        <v>159</v>
      </c>
      <c r="B282" s="164"/>
      <c r="C282" s="164"/>
      <c r="D282" s="164"/>
      <c r="E282" s="164"/>
      <c r="F282" s="164"/>
    </row>
    <row r="283" spans="1:17" ht="18.75" thickBot="1" x14ac:dyDescent="0.3">
      <c r="A283" s="8"/>
    </row>
    <row r="284" spans="1:17" x14ac:dyDescent="0.25">
      <c r="A284" s="202" t="s">
        <v>13</v>
      </c>
      <c r="B284" s="202" t="s">
        <v>50</v>
      </c>
      <c r="C284" s="202" t="s">
        <v>80</v>
      </c>
      <c r="D284" s="202" t="s">
        <v>81</v>
      </c>
      <c r="E284" s="202" t="s">
        <v>82</v>
      </c>
      <c r="F284" s="202" t="s">
        <v>66</v>
      </c>
      <c r="G284" s="8"/>
    </row>
    <row r="285" spans="1:17" ht="18.75" thickBot="1" x14ac:dyDescent="0.3">
      <c r="A285" s="203"/>
      <c r="B285" s="203"/>
      <c r="C285" s="203"/>
      <c r="D285" s="203"/>
      <c r="E285" s="203"/>
      <c r="F285" s="203"/>
      <c r="G285" s="8"/>
    </row>
    <row r="286" spans="1:17" ht="18.75" thickBot="1" x14ac:dyDescent="0.3">
      <c r="A286" s="14">
        <v>1</v>
      </c>
      <c r="B286" s="12">
        <v>2</v>
      </c>
      <c r="C286" s="12">
        <v>3</v>
      </c>
      <c r="D286" s="12">
        <v>4</v>
      </c>
      <c r="E286" s="12">
        <v>5</v>
      </c>
      <c r="F286" s="12">
        <v>6</v>
      </c>
      <c r="G286" s="8"/>
    </row>
    <row r="287" spans="1:17" ht="18.75" thickBot="1" x14ac:dyDescent="0.3">
      <c r="A287" s="14"/>
      <c r="B287" s="12"/>
      <c r="C287" s="12"/>
      <c r="D287" s="12"/>
      <c r="E287" s="12"/>
      <c r="F287" s="29"/>
      <c r="G287" s="8"/>
    </row>
    <row r="288" spans="1:17" ht="18.75" thickBot="1" x14ac:dyDescent="0.3">
      <c r="A288" s="200" t="s">
        <v>19</v>
      </c>
      <c r="B288" s="212"/>
      <c r="C288" s="12" t="s">
        <v>20</v>
      </c>
      <c r="D288" s="12" t="s">
        <v>25</v>
      </c>
      <c r="E288" s="12"/>
      <c r="F288" s="12" t="s">
        <v>25</v>
      </c>
      <c r="G288" s="8"/>
    </row>
    <row r="289" spans="1:8" x14ac:dyDescent="0.25">
      <c r="A289" s="8"/>
    </row>
    <row r="290" spans="1:8" ht="18.75" customHeight="1" x14ac:dyDescent="0.25">
      <c r="A290" s="164" t="s">
        <v>161</v>
      </c>
      <c r="B290" s="164"/>
      <c r="C290" s="164"/>
      <c r="D290" s="164"/>
      <c r="E290" s="164"/>
      <c r="F290" s="164"/>
      <c r="G290" s="164"/>
    </row>
    <row r="291" spans="1:8" ht="18.75" thickBot="1" x14ac:dyDescent="0.3">
      <c r="A291" s="8"/>
    </row>
    <row r="292" spans="1:8" x14ac:dyDescent="0.25">
      <c r="A292" s="208" t="s">
        <v>13</v>
      </c>
      <c r="B292" s="210" t="s">
        <v>14</v>
      </c>
      <c r="C292" s="210" t="s">
        <v>83</v>
      </c>
      <c r="D292" s="210" t="s">
        <v>160</v>
      </c>
      <c r="E292" s="210" t="s">
        <v>84</v>
      </c>
      <c r="F292" s="217" t="s">
        <v>66</v>
      </c>
      <c r="G292" s="8"/>
      <c r="H292" s="8"/>
    </row>
    <row r="293" spans="1:8" ht="18.75" thickBot="1" x14ac:dyDescent="0.3">
      <c r="A293" s="209"/>
      <c r="B293" s="211"/>
      <c r="C293" s="211"/>
      <c r="D293" s="211"/>
      <c r="E293" s="211"/>
      <c r="F293" s="218"/>
      <c r="G293" s="8"/>
      <c r="H293" s="8"/>
    </row>
    <row r="294" spans="1:8" ht="18.75" thickBot="1" x14ac:dyDescent="0.3">
      <c r="A294" s="65">
        <v>1</v>
      </c>
      <c r="B294" s="66">
        <v>2</v>
      </c>
      <c r="C294" s="66">
        <v>3</v>
      </c>
      <c r="D294" s="66">
        <v>4</v>
      </c>
      <c r="E294" s="66">
        <v>5</v>
      </c>
      <c r="F294" s="67">
        <v>6</v>
      </c>
      <c r="G294" s="8"/>
      <c r="H294" s="8"/>
    </row>
    <row r="295" spans="1:8" ht="86.25" customHeight="1" x14ac:dyDescent="0.25">
      <c r="A295" s="102">
        <v>1</v>
      </c>
      <c r="B295" s="89" t="s">
        <v>196</v>
      </c>
      <c r="C295" s="88"/>
      <c r="D295" s="89"/>
      <c r="E295" s="90">
        <v>15943.2</v>
      </c>
      <c r="F295" s="103" t="s">
        <v>68</v>
      </c>
      <c r="G295" s="8"/>
      <c r="H295" s="8"/>
    </row>
    <row r="296" spans="1:8" x14ac:dyDescent="0.25">
      <c r="A296" s="97">
        <v>2</v>
      </c>
      <c r="B296" s="7" t="s">
        <v>197</v>
      </c>
      <c r="C296" s="9"/>
      <c r="D296" s="7"/>
      <c r="E296" s="35">
        <v>28470</v>
      </c>
      <c r="F296" s="98" t="s">
        <v>68</v>
      </c>
      <c r="G296" s="8"/>
      <c r="H296" s="8"/>
    </row>
    <row r="297" spans="1:8" x14ac:dyDescent="0.25">
      <c r="A297" s="97">
        <v>3</v>
      </c>
      <c r="B297" s="7" t="s">
        <v>85</v>
      </c>
      <c r="C297" s="9"/>
      <c r="D297" s="7"/>
      <c r="E297" s="35">
        <v>16808.689999999999</v>
      </c>
      <c r="F297" s="98" t="s">
        <v>68</v>
      </c>
      <c r="G297" s="8"/>
      <c r="H297" s="8"/>
    </row>
    <row r="298" spans="1:8" x14ac:dyDescent="0.25">
      <c r="A298" s="97">
        <v>4</v>
      </c>
      <c r="B298" s="7" t="s">
        <v>96</v>
      </c>
      <c r="C298" s="9"/>
      <c r="D298" s="7"/>
      <c r="E298" s="35">
        <v>6520.47</v>
      </c>
      <c r="F298" s="98" t="s">
        <v>68</v>
      </c>
      <c r="G298" s="8"/>
      <c r="H298" s="8"/>
    </row>
    <row r="299" spans="1:8" x14ac:dyDescent="0.25">
      <c r="A299" s="97">
        <v>5</v>
      </c>
      <c r="B299" s="7" t="s">
        <v>198</v>
      </c>
      <c r="C299" s="9"/>
      <c r="D299" s="7"/>
      <c r="E299" s="35">
        <v>5022.1099999999997</v>
      </c>
      <c r="F299" s="98" t="s">
        <v>68</v>
      </c>
      <c r="G299" s="8"/>
      <c r="H299" s="8"/>
    </row>
    <row r="300" spans="1:8" x14ac:dyDescent="0.25">
      <c r="A300" s="97">
        <v>6</v>
      </c>
      <c r="B300" s="7" t="s">
        <v>199</v>
      </c>
      <c r="C300" s="9"/>
      <c r="D300" s="7"/>
      <c r="E300" s="35">
        <v>95339.8</v>
      </c>
      <c r="F300" s="98" t="s">
        <v>68</v>
      </c>
      <c r="G300" s="8"/>
      <c r="H300" s="8"/>
    </row>
    <row r="301" spans="1:8" x14ac:dyDescent="0.25">
      <c r="A301" s="97">
        <v>7</v>
      </c>
      <c r="B301" s="7" t="s">
        <v>200</v>
      </c>
      <c r="C301" s="9"/>
      <c r="D301" s="7"/>
      <c r="E301" s="35">
        <v>22472.32</v>
      </c>
      <c r="F301" s="98" t="s">
        <v>68</v>
      </c>
      <c r="G301" s="8"/>
      <c r="H301" s="8"/>
    </row>
    <row r="302" spans="1:8" x14ac:dyDescent="0.25">
      <c r="A302" s="97">
        <v>8</v>
      </c>
      <c r="B302" s="7" t="s">
        <v>201</v>
      </c>
      <c r="C302" s="9"/>
      <c r="D302" s="7"/>
      <c r="E302" s="35">
        <v>34164</v>
      </c>
      <c r="F302" s="98" t="s">
        <v>68</v>
      </c>
      <c r="G302" s="8"/>
      <c r="H302" s="8"/>
    </row>
    <row r="303" spans="1:8" ht="37.5" customHeight="1" x14ac:dyDescent="0.25">
      <c r="A303" s="97">
        <v>9</v>
      </c>
      <c r="B303" s="7" t="s">
        <v>243</v>
      </c>
      <c r="C303" s="9"/>
      <c r="D303" s="7"/>
      <c r="E303" s="35">
        <v>3874.32</v>
      </c>
      <c r="F303" s="98" t="s">
        <v>68</v>
      </c>
      <c r="G303" s="8"/>
      <c r="H303" s="8"/>
    </row>
    <row r="304" spans="1:8" ht="37.5" customHeight="1" thickBot="1" x14ac:dyDescent="0.3">
      <c r="A304" s="104">
        <v>10</v>
      </c>
      <c r="B304" s="105" t="s">
        <v>273</v>
      </c>
      <c r="C304" s="120"/>
      <c r="D304" s="105"/>
      <c r="E304" s="106">
        <v>180263</v>
      </c>
      <c r="F304" s="107" t="s">
        <v>270</v>
      </c>
      <c r="G304" s="8"/>
      <c r="H304" s="8"/>
    </row>
    <row r="305" spans="1:17" ht="18.75" thickBot="1" x14ac:dyDescent="0.3">
      <c r="A305" s="215" t="s">
        <v>19</v>
      </c>
      <c r="B305" s="216"/>
      <c r="C305" s="66" t="s">
        <v>25</v>
      </c>
      <c r="D305" s="66" t="s">
        <v>25</v>
      </c>
      <c r="E305" s="114">
        <f>SUM(E295:E304)</f>
        <v>408877.91000000003</v>
      </c>
      <c r="F305" s="67" t="s">
        <v>25</v>
      </c>
      <c r="G305" s="8"/>
      <c r="H305" s="8"/>
      <c r="Q305" s="28">
        <f>228614.91-E305</f>
        <v>-180263.00000000003</v>
      </c>
    </row>
    <row r="306" spans="1:17" ht="18.75" thickBot="1" x14ac:dyDescent="0.3">
      <c r="A306" s="20"/>
      <c r="B306" s="20"/>
      <c r="C306" s="13"/>
      <c r="D306" s="13"/>
      <c r="E306" s="13"/>
      <c r="F306" s="13"/>
      <c r="G306" s="13"/>
      <c r="H306" s="8"/>
      <c r="I306" s="8"/>
    </row>
    <row r="307" spans="1:17" ht="18" customHeight="1" x14ac:dyDescent="0.25">
      <c r="A307" s="208" t="s">
        <v>13</v>
      </c>
      <c r="B307" s="210" t="s">
        <v>14</v>
      </c>
      <c r="C307" s="210" t="s">
        <v>83</v>
      </c>
      <c r="D307" s="210" t="s">
        <v>160</v>
      </c>
      <c r="E307" s="210" t="s">
        <v>84</v>
      </c>
      <c r="F307" s="217" t="s">
        <v>66</v>
      </c>
      <c r="G307" s="27"/>
      <c r="H307" s="27"/>
    </row>
    <row r="308" spans="1:17" ht="18.75" thickBot="1" x14ac:dyDescent="0.3">
      <c r="A308" s="209"/>
      <c r="B308" s="211"/>
      <c r="C308" s="211"/>
      <c r="D308" s="211"/>
      <c r="E308" s="211"/>
      <c r="F308" s="218"/>
      <c r="G308" s="8"/>
      <c r="H308" s="8"/>
    </row>
    <row r="309" spans="1:17" ht="18.75" thickBot="1" x14ac:dyDescent="0.3">
      <c r="A309" s="65">
        <v>1</v>
      </c>
      <c r="B309" s="66">
        <v>2</v>
      </c>
      <c r="C309" s="66">
        <v>3</v>
      </c>
      <c r="D309" s="66">
        <v>4</v>
      </c>
      <c r="E309" s="66">
        <v>5</v>
      </c>
      <c r="F309" s="67">
        <v>6</v>
      </c>
      <c r="G309" s="8"/>
      <c r="H309" s="8"/>
    </row>
    <row r="310" spans="1:17" ht="86.25" customHeight="1" x14ac:dyDescent="0.25">
      <c r="A310" s="102">
        <v>1</v>
      </c>
      <c r="B310" s="89" t="s">
        <v>196</v>
      </c>
      <c r="C310" s="88"/>
      <c r="D310" s="89"/>
      <c r="E310" s="90">
        <v>856.8</v>
      </c>
      <c r="F310" s="103" t="s">
        <v>12</v>
      </c>
      <c r="G310" s="8"/>
      <c r="H310" s="8"/>
    </row>
    <row r="311" spans="1:17" x14ac:dyDescent="0.25">
      <c r="A311" s="97">
        <v>2</v>
      </c>
      <c r="B311" s="7" t="s">
        <v>197</v>
      </c>
      <c r="C311" s="9"/>
      <c r="D311" s="7"/>
      <c r="E311" s="35">
        <v>1530</v>
      </c>
      <c r="F311" s="98" t="s">
        <v>12</v>
      </c>
      <c r="G311" s="8"/>
      <c r="H311" s="8"/>
    </row>
    <row r="312" spans="1:17" x14ac:dyDescent="0.25">
      <c r="A312" s="102">
        <v>3</v>
      </c>
      <c r="B312" s="7" t="s">
        <v>85</v>
      </c>
      <c r="C312" s="9"/>
      <c r="D312" s="7"/>
      <c r="E312" s="35">
        <v>903.31</v>
      </c>
      <c r="F312" s="98" t="s">
        <v>12</v>
      </c>
      <c r="G312" s="8"/>
      <c r="H312" s="8"/>
    </row>
    <row r="313" spans="1:17" x14ac:dyDescent="0.25">
      <c r="A313" s="97">
        <v>4</v>
      </c>
      <c r="B313" s="7" t="s">
        <v>96</v>
      </c>
      <c r="C313" s="9"/>
      <c r="D313" s="7"/>
      <c r="E313" s="35">
        <v>605.73</v>
      </c>
      <c r="F313" s="98" t="s">
        <v>12</v>
      </c>
      <c r="G313" s="8"/>
      <c r="H313" s="8"/>
    </row>
    <row r="314" spans="1:17" ht="37.5" customHeight="1" x14ac:dyDescent="0.25">
      <c r="A314" s="102">
        <v>5</v>
      </c>
      <c r="B314" s="7" t="s">
        <v>198</v>
      </c>
      <c r="C314" s="9"/>
      <c r="D314" s="7"/>
      <c r="E314" s="35">
        <v>269.89</v>
      </c>
      <c r="F314" s="98" t="s">
        <v>12</v>
      </c>
      <c r="G314" s="8"/>
      <c r="H314" s="8"/>
    </row>
    <row r="315" spans="1:17" x14ac:dyDescent="0.25">
      <c r="A315" s="97">
        <v>6</v>
      </c>
      <c r="B315" s="7" t="s">
        <v>199</v>
      </c>
      <c r="C315" s="9"/>
      <c r="D315" s="7"/>
      <c r="E315" s="35">
        <v>3965.76</v>
      </c>
      <c r="F315" s="98" t="s">
        <v>12</v>
      </c>
      <c r="G315" s="8"/>
      <c r="H315" s="8"/>
    </row>
    <row r="316" spans="1:17" ht="34.5" customHeight="1" x14ac:dyDescent="0.25">
      <c r="A316" s="9">
        <v>7</v>
      </c>
      <c r="B316" s="7" t="s">
        <v>200</v>
      </c>
      <c r="C316" s="9"/>
      <c r="D316" s="7"/>
      <c r="E316" s="35">
        <v>1207.68</v>
      </c>
      <c r="F316" s="98" t="s">
        <v>12</v>
      </c>
      <c r="G316" s="8"/>
      <c r="H316" s="8"/>
    </row>
    <row r="317" spans="1:17" x14ac:dyDescent="0.25">
      <c r="A317" s="9">
        <v>8</v>
      </c>
      <c r="B317" s="7" t="s">
        <v>201</v>
      </c>
      <c r="C317" s="9"/>
      <c r="D317" s="7"/>
      <c r="E317" s="35">
        <v>1836</v>
      </c>
      <c r="F317" s="98" t="s">
        <v>12</v>
      </c>
      <c r="G317" s="8"/>
      <c r="H317" s="8"/>
    </row>
    <row r="318" spans="1:17" x14ac:dyDescent="0.25">
      <c r="A318" s="9">
        <v>9</v>
      </c>
      <c r="B318" s="7" t="s">
        <v>244</v>
      </c>
      <c r="C318" s="9"/>
      <c r="D318" s="7"/>
      <c r="E318" s="35">
        <v>70399.61</v>
      </c>
      <c r="F318" s="98" t="s">
        <v>12</v>
      </c>
      <c r="G318" s="8"/>
      <c r="H318" s="8"/>
    </row>
    <row r="319" spans="1:17" x14ac:dyDescent="0.25">
      <c r="A319" s="9">
        <v>10</v>
      </c>
      <c r="B319" s="7" t="s">
        <v>245</v>
      </c>
      <c r="C319" s="9"/>
      <c r="D319" s="7"/>
      <c r="E319" s="35">
        <v>31188.43</v>
      </c>
      <c r="F319" s="98" t="s">
        <v>12</v>
      </c>
      <c r="G319" s="8"/>
      <c r="H319" s="8"/>
    </row>
    <row r="320" spans="1:17" ht="18.75" thickBot="1" x14ac:dyDescent="0.3">
      <c r="A320" s="239" t="s">
        <v>19</v>
      </c>
      <c r="B320" s="240"/>
      <c r="C320" s="56" t="s">
        <v>25</v>
      </c>
      <c r="D320" s="56" t="s">
        <v>25</v>
      </c>
      <c r="E320" s="146">
        <f>SUM(E310:E319)</f>
        <v>112763.20999999999</v>
      </c>
      <c r="F320" s="109" t="s">
        <v>25</v>
      </c>
      <c r="G320" s="8"/>
      <c r="H320" s="8"/>
      <c r="Q320" s="28">
        <f>112763.21-E320</f>
        <v>0</v>
      </c>
    </row>
    <row r="321" spans="1:17" x14ac:dyDescent="0.25">
      <c r="A321" s="20"/>
      <c r="B321" s="20"/>
      <c r="C321" s="13"/>
      <c r="D321" s="13"/>
      <c r="E321" s="13"/>
      <c r="F321" s="39"/>
      <c r="G321" s="13"/>
      <c r="H321" s="8"/>
      <c r="I321" s="8"/>
    </row>
    <row r="322" spans="1:17" x14ac:dyDescent="0.25">
      <c r="A322" s="8"/>
    </row>
    <row r="323" spans="1:17" ht="18.75" customHeight="1" x14ac:dyDescent="0.25">
      <c r="A323" s="164" t="s">
        <v>162</v>
      </c>
      <c r="B323" s="164"/>
      <c r="C323" s="164"/>
      <c r="D323" s="164"/>
      <c r="E323" s="164"/>
      <c r="F323" s="164"/>
      <c r="G323" s="164"/>
    </row>
    <row r="324" spans="1:17" ht="18.75" thickBot="1" x14ac:dyDescent="0.3">
      <c r="A324" s="8"/>
    </row>
    <row r="325" spans="1:17" ht="18" customHeight="1" x14ac:dyDescent="0.25">
      <c r="A325" s="208" t="s">
        <v>13</v>
      </c>
      <c r="B325" s="210" t="s">
        <v>14</v>
      </c>
      <c r="C325" s="210" t="s">
        <v>86</v>
      </c>
      <c r="D325" s="210" t="s">
        <v>88</v>
      </c>
      <c r="E325" s="217" t="s">
        <v>66</v>
      </c>
      <c r="F325" s="8"/>
      <c r="G325" s="8"/>
      <c r="H325" s="8"/>
    </row>
    <row r="326" spans="1:17" ht="18.75" thickBot="1" x14ac:dyDescent="0.3">
      <c r="A326" s="209"/>
      <c r="B326" s="211"/>
      <c r="C326" s="211"/>
      <c r="D326" s="211"/>
      <c r="E326" s="218"/>
      <c r="F326" s="8"/>
      <c r="G326" s="8"/>
      <c r="H326" s="8"/>
    </row>
    <row r="327" spans="1:17" ht="18.75" thickBot="1" x14ac:dyDescent="0.3">
      <c r="A327" s="65">
        <v>1</v>
      </c>
      <c r="B327" s="66">
        <v>2</v>
      </c>
      <c r="C327" s="66">
        <v>3</v>
      </c>
      <c r="D327" s="66">
        <v>4</v>
      </c>
      <c r="E327" s="67">
        <v>5</v>
      </c>
      <c r="F327" s="8"/>
      <c r="G327" s="8"/>
      <c r="H327" s="8"/>
    </row>
    <row r="328" spans="1:17" x14ac:dyDescent="0.25">
      <c r="A328" s="102">
        <v>1</v>
      </c>
      <c r="B328" s="88" t="s">
        <v>202</v>
      </c>
      <c r="C328" s="89"/>
      <c r="D328" s="90">
        <v>46776.21</v>
      </c>
      <c r="E328" s="103" t="s">
        <v>68</v>
      </c>
      <c r="F328" s="8"/>
      <c r="G328" s="8"/>
      <c r="H328" s="8"/>
    </row>
    <row r="329" spans="1:17" x14ac:dyDescent="0.25">
      <c r="A329" s="97">
        <v>2</v>
      </c>
      <c r="B329" s="110" t="s">
        <v>203</v>
      </c>
      <c r="C329" s="7"/>
      <c r="D329" s="35">
        <v>28052.52</v>
      </c>
      <c r="E329" s="98" t="s">
        <v>68</v>
      </c>
      <c r="F329" s="8"/>
      <c r="G329" s="8"/>
      <c r="H329" s="8"/>
    </row>
    <row r="330" spans="1:17" ht="41.25" customHeight="1" x14ac:dyDescent="0.25">
      <c r="A330" s="97">
        <v>3</v>
      </c>
      <c r="B330" s="9" t="s">
        <v>100</v>
      </c>
      <c r="C330" s="7"/>
      <c r="D330" s="35">
        <f>775249.49-173913.23</f>
        <v>601336.26</v>
      </c>
      <c r="E330" s="98" t="s">
        <v>68</v>
      </c>
      <c r="F330" s="8"/>
      <c r="G330" s="8"/>
      <c r="H330" s="8"/>
    </row>
    <row r="331" spans="1:17" x14ac:dyDescent="0.25">
      <c r="A331" s="97">
        <v>4</v>
      </c>
      <c r="B331" s="9" t="s">
        <v>246</v>
      </c>
      <c r="C331" s="7"/>
      <c r="D331" s="35">
        <v>27331.200000000001</v>
      </c>
      <c r="E331" s="98" t="s">
        <v>68</v>
      </c>
      <c r="F331" s="8"/>
      <c r="G331" s="8"/>
      <c r="H331" s="8"/>
    </row>
    <row r="332" spans="1:17" x14ac:dyDescent="0.25">
      <c r="A332" s="97">
        <v>5</v>
      </c>
      <c r="B332" s="9" t="s">
        <v>184</v>
      </c>
      <c r="C332" s="7"/>
      <c r="D332" s="35">
        <v>150500</v>
      </c>
      <c r="E332" s="98" t="s">
        <v>68</v>
      </c>
      <c r="F332" s="8"/>
      <c r="G332" s="8"/>
      <c r="H332" s="8"/>
    </row>
    <row r="333" spans="1:17" ht="36" x14ac:dyDescent="0.25">
      <c r="A333" s="97">
        <v>6</v>
      </c>
      <c r="B333" s="9" t="s">
        <v>247</v>
      </c>
      <c r="C333" s="7"/>
      <c r="D333" s="35">
        <v>87314.04</v>
      </c>
      <c r="E333" s="98" t="s">
        <v>68</v>
      </c>
      <c r="F333" s="8"/>
      <c r="G333" s="8"/>
      <c r="H333" s="8"/>
    </row>
    <row r="334" spans="1:17" x14ac:dyDescent="0.25">
      <c r="A334" s="97">
        <v>7</v>
      </c>
      <c r="B334" s="91" t="s">
        <v>248</v>
      </c>
      <c r="C334" s="92"/>
      <c r="D334" s="93">
        <v>0</v>
      </c>
      <c r="E334" s="98" t="s">
        <v>68</v>
      </c>
      <c r="F334" s="8"/>
      <c r="G334" s="8"/>
      <c r="H334" s="8"/>
    </row>
    <row r="335" spans="1:17" ht="18.75" thickBot="1" x14ac:dyDescent="0.3">
      <c r="A335" s="97"/>
      <c r="B335" s="91"/>
      <c r="C335" s="92"/>
      <c r="D335" s="93"/>
      <c r="E335" s="98"/>
      <c r="F335" s="8"/>
      <c r="G335" s="8"/>
      <c r="H335" s="8"/>
    </row>
    <row r="336" spans="1:17" ht="18.75" thickBot="1" x14ac:dyDescent="0.3">
      <c r="A336" s="215" t="s">
        <v>19</v>
      </c>
      <c r="B336" s="216"/>
      <c r="C336" s="66" t="s">
        <v>25</v>
      </c>
      <c r="D336" s="114">
        <f>SUM(D328:D335)</f>
        <v>941310.23</v>
      </c>
      <c r="E336" s="67" t="s">
        <v>25</v>
      </c>
      <c r="F336" s="27"/>
      <c r="G336" s="8"/>
      <c r="H336" s="8"/>
      <c r="Q336" s="28">
        <f>SUM(D328:D334)-941310.23</f>
        <v>0</v>
      </c>
    </row>
    <row r="337" spans="1:17" ht="18.75" thickBot="1" x14ac:dyDescent="0.3">
      <c r="A337" s="20"/>
      <c r="B337" s="20"/>
      <c r="C337" s="13"/>
      <c r="D337" s="13"/>
      <c r="E337" s="13"/>
      <c r="F337" s="8"/>
      <c r="G337" s="8"/>
      <c r="H337" s="8"/>
    </row>
    <row r="338" spans="1:17" ht="18" customHeight="1" x14ac:dyDescent="0.25">
      <c r="A338" s="208" t="s">
        <v>13</v>
      </c>
      <c r="B338" s="210" t="s">
        <v>14</v>
      </c>
      <c r="C338" s="210" t="s">
        <v>86</v>
      </c>
      <c r="D338" s="210" t="s">
        <v>88</v>
      </c>
      <c r="E338" s="217" t="s">
        <v>66</v>
      </c>
      <c r="F338" s="8"/>
      <c r="G338" s="8"/>
      <c r="H338" s="8"/>
    </row>
    <row r="339" spans="1:17" ht="18.75" thickBot="1" x14ac:dyDescent="0.3">
      <c r="A339" s="209"/>
      <c r="B339" s="211"/>
      <c r="C339" s="211"/>
      <c r="D339" s="211"/>
      <c r="E339" s="218"/>
      <c r="F339" s="8"/>
      <c r="G339" s="8"/>
      <c r="H339" s="8"/>
    </row>
    <row r="340" spans="1:17" ht="18.75" thickBot="1" x14ac:dyDescent="0.3">
      <c r="A340" s="65">
        <v>1</v>
      </c>
      <c r="B340" s="66">
        <v>2</v>
      </c>
      <c r="C340" s="66">
        <v>3</v>
      </c>
      <c r="D340" s="66">
        <v>4</v>
      </c>
      <c r="E340" s="67">
        <v>5</v>
      </c>
      <c r="F340" s="27"/>
      <c r="G340" s="27"/>
      <c r="H340" s="27"/>
    </row>
    <row r="341" spans="1:17" ht="36" x14ac:dyDescent="0.25">
      <c r="A341" s="80">
        <v>1</v>
      </c>
      <c r="B341" s="118" t="s">
        <v>90</v>
      </c>
      <c r="C341" s="89"/>
      <c r="D341" s="90">
        <v>69120</v>
      </c>
      <c r="E341" s="101" t="s">
        <v>12</v>
      </c>
      <c r="F341" s="27"/>
      <c r="G341" s="27"/>
      <c r="H341" s="27"/>
    </row>
    <row r="342" spans="1:17" x14ac:dyDescent="0.25">
      <c r="A342" s="48">
        <v>2</v>
      </c>
      <c r="B342" s="9" t="s">
        <v>89</v>
      </c>
      <c r="C342" s="7"/>
      <c r="D342" s="35">
        <f>2513.79+31209.39</f>
        <v>33723.18</v>
      </c>
      <c r="E342" s="96" t="s">
        <v>12</v>
      </c>
      <c r="F342" s="27"/>
      <c r="G342" s="27"/>
      <c r="H342" s="27"/>
    </row>
    <row r="343" spans="1:17" x14ac:dyDescent="0.25">
      <c r="A343" s="48"/>
      <c r="B343" s="9" t="s">
        <v>246</v>
      </c>
      <c r="C343" s="7"/>
      <c r="D343" s="35">
        <v>1468.8</v>
      </c>
      <c r="E343" s="96" t="s">
        <v>12</v>
      </c>
      <c r="F343" s="27"/>
      <c r="G343" s="27"/>
      <c r="H343" s="27"/>
    </row>
    <row r="344" spans="1:17" x14ac:dyDescent="0.25">
      <c r="A344" s="48">
        <v>3</v>
      </c>
      <c r="B344" s="110" t="s">
        <v>97</v>
      </c>
      <c r="C344" s="7"/>
      <c r="D344" s="35">
        <v>1507.56</v>
      </c>
      <c r="E344" s="96" t="s">
        <v>12</v>
      </c>
      <c r="F344" s="27"/>
      <c r="G344" s="27"/>
      <c r="H344" s="27"/>
    </row>
    <row r="345" spans="1:17" x14ac:dyDescent="0.25">
      <c r="A345" s="7">
        <v>4</v>
      </c>
      <c r="B345" s="9" t="s">
        <v>100</v>
      </c>
      <c r="C345" s="7"/>
      <c r="D345" s="35">
        <v>41662.51</v>
      </c>
      <c r="E345" s="96" t="s">
        <v>12</v>
      </c>
      <c r="F345" s="27"/>
      <c r="G345" s="27"/>
      <c r="H345" s="27"/>
    </row>
    <row r="346" spans="1:17" ht="36" x14ac:dyDescent="0.25">
      <c r="A346" s="7">
        <v>5</v>
      </c>
      <c r="B346" s="9" t="s">
        <v>249</v>
      </c>
      <c r="C346" s="7"/>
      <c r="D346" s="35">
        <v>5500</v>
      </c>
      <c r="E346" s="96" t="s">
        <v>12</v>
      </c>
      <c r="F346" s="27"/>
      <c r="G346" s="27"/>
      <c r="H346" s="27"/>
    </row>
    <row r="347" spans="1:17" ht="36" x14ac:dyDescent="0.25">
      <c r="A347" s="7">
        <v>6</v>
      </c>
      <c r="B347" s="9" t="s">
        <v>250</v>
      </c>
      <c r="C347" s="7"/>
      <c r="D347" s="35">
        <v>4200</v>
      </c>
      <c r="E347" s="96" t="s">
        <v>12</v>
      </c>
      <c r="F347" s="27"/>
      <c r="G347" s="27"/>
      <c r="H347" s="27"/>
    </row>
    <row r="348" spans="1:17" x14ac:dyDescent="0.25">
      <c r="A348" s="7">
        <v>7</v>
      </c>
      <c r="B348" s="91" t="s">
        <v>243</v>
      </c>
      <c r="C348" s="7"/>
      <c r="D348" s="35">
        <v>12457.49</v>
      </c>
      <c r="E348" s="96" t="s">
        <v>12</v>
      </c>
      <c r="F348" s="27"/>
      <c r="G348" s="27"/>
      <c r="H348" s="27"/>
    </row>
    <row r="349" spans="1:17" ht="36" x14ac:dyDescent="0.25">
      <c r="A349" s="7">
        <v>8</v>
      </c>
      <c r="B349" s="9" t="s">
        <v>253</v>
      </c>
      <c r="C349" s="7"/>
      <c r="D349" s="35">
        <v>4750</v>
      </c>
      <c r="E349" s="96" t="s">
        <v>254</v>
      </c>
      <c r="F349" s="27"/>
      <c r="G349" s="27"/>
      <c r="H349" s="27"/>
    </row>
    <row r="350" spans="1:17" ht="18.75" thickBot="1" x14ac:dyDescent="0.3">
      <c r="A350" s="239" t="s">
        <v>19</v>
      </c>
      <c r="B350" s="240"/>
      <c r="C350" s="56" t="s">
        <v>25</v>
      </c>
      <c r="D350" s="146">
        <f>SUM(D341:D349)</f>
        <v>174389.53999999998</v>
      </c>
      <c r="E350" s="109" t="s">
        <v>25</v>
      </c>
      <c r="F350" s="8"/>
      <c r="G350" s="8"/>
      <c r="H350" s="8"/>
    </row>
    <row r="351" spans="1:17" x14ac:dyDescent="0.25">
      <c r="A351" s="20"/>
      <c r="B351" s="20"/>
      <c r="C351" s="13"/>
      <c r="D351" s="13"/>
      <c r="E351" s="13"/>
      <c r="F351" s="39"/>
      <c r="G351" s="13"/>
      <c r="H351" s="8"/>
      <c r="I351" s="8"/>
      <c r="Q351" s="28">
        <f>138430.15-D350</f>
        <v>-35959.389999999985</v>
      </c>
    </row>
    <row r="352" spans="1:17" x14ac:dyDescent="0.25">
      <c r="A352" s="20"/>
      <c r="B352" s="20"/>
      <c r="C352" s="13"/>
      <c r="D352" s="13"/>
      <c r="E352" s="13"/>
      <c r="F352" s="39"/>
      <c r="G352" s="13"/>
      <c r="H352" s="8"/>
      <c r="I352" s="8"/>
    </row>
    <row r="353" spans="1:12" ht="18.75" customHeight="1" x14ac:dyDescent="0.25">
      <c r="A353" s="164" t="s">
        <v>163</v>
      </c>
      <c r="B353" s="164"/>
      <c r="C353" s="164"/>
      <c r="D353" s="164"/>
      <c r="E353" s="164"/>
      <c r="F353" s="164"/>
      <c r="G353" s="164"/>
    </row>
    <row r="354" spans="1:12" ht="18.75" thickBot="1" x14ac:dyDescent="0.3">
      <c r="A354" s="8"/>
    </row>
    <row r="355" spans="1:12" ht="18" customHeight="1" x14ac:dyDescent="0.25">
      <c r="A355" s="208" t="s">
        <v>13</v>
      </c>
      <c r="B355" s="210" t="s">
        <v>14</v>
      </c>
      <c r="C355" s="210" t="s">
        <v>91</v>
      </c>
      <c r="D355" s="210" t="s">
        <v>87</v>
      </c>
      <c r="E355" s="210" t="s">
        <v>18</v>
      </c>
      <c r="F355" s="217" t="s">
        <v>93</v>
      </c>
      <c r="G355" s="8"/>
      <c r="H355" s="8"/>
    </row>
    <row r="356" spans="1:12" ht="18.75" thickBot="1" x14ac:dyDescent="0.3">
      <c r="A356" s="209"/>
      <c r="B356" s="211"/>
      <c r="C356" s="211"/>
      <c r="D356" s="211"/>
      <c r="E356" s="211"/>
      <c r="F356" s="218"/>
      <c r="G356" s="8"/>
      <c r="H356" s="8"/>
    </row>
    <row r="357" spans="1:12" ht="36" customHeight="1" thickBot="1" x14ac:dyDescent="0.3">
      <c r="A357" s="65">
        <v>1</v>
      </c>
      <c r="B357" s="66">
        <v>2</v>
      </c>
      <c r="C357" s="66">
        <v>3</v>
      </c>
      <c r="D357" s="66">
        <v>4</v>
      </c>
      <c r="E357" s="66">
        <v>5</v>
      </c>
      <c r="F357" s="67">
        <v>6</v>
      </c>
      <c r="G357" s="8"/>
      <c r="H357" s="8"/>
      <c r="J357" s="10" t="s">
        <v>110</v>
      </c>
      <c r="K357" s="10" t="s">
        <v>111</v>
      </c>
      <c r="L357" s="10" t="s">
        <v>112</v>
      </c>
    </row>
    <row r="358" spans="1:12" ht="72" x14ac:dyDescent="0.25">
      <c r="A358" s="80">
        <v>1</v>
      </c>
      <c r="B358" s="118" t="s">
        <v>204</v>
      </c>
      <c r="C358" s="89"/>
      <c r="D358" s="89"/>
      <c r="E358" s="90">
        <v>2001300</v>
      </c>
      <c r="F358" s="103" t="s">
        <v>68</v>
      </c>
      <c r="G358" s="8"/>
      <c r="H358" s="8"/>
      <c r="J358" s="10" t="s">
        <v>109</v>
      </c>
      <c r="K358" s="10">
        <v>72000</v>
      </c>
      <c r="L358" s="28" t="e">
        <f>D330+D331+D333+#REF!</f>
        <v>#REF!</v>
      </c>
    </row>
    <row r="359" spans="1:12" ht="33.75" customHeight="1" x14ac:dyDescent="0.25">
      <c r="A359" s="48">
        <v>2</v>
      </c>
      <c r="B359" s="118" t="s">
        <v>205</v>
      </c>
      <c r="C359" s="7"/>
      <c r="D359" s="7"/>
      <c r="E359" s="35">
        <v>296469</v>
      </c>
      <c r="F359" s="103" t="s">
        <v>68</v>
      </c>
      <c r="G359" s="8"/>
      <c r="H359" s="8"/>
      <c r="K359" s="28" t="e">
        <f>2660000-K358-L358</f>
        <v>#REF!</v>
      </c>
    </row>
    <row r="360" spans="1:12" ht="33.75" customHeight="1" x14ac:dyDescent="0.25">
      <c r="A360" s="48">
        <v>3</v>
      </c>
      <c r="B360" s="110" t="s">
        <v>113</v>
      </c>
      <c r="C360" s="7"/>
      <c r="D360" s="7"/>
      <c r="E360" s="35">
        <v>52900</v>
      </c>
      <c r="F360" s="103" t="s">
        <v>68</v>
      </c>
      <c r="G360" s="8"/>
      <c r="H360" s="8"/>
    </row>
    <row r="361" spans="1:12" ht="33.75" customHeight="1" x14ac:dyDescent="0.25">
      <c r="A361" s="48">
        <v>4</v>
      </c>
      <c r="B361" s="110" t="s">
        <v>274</v>
      </c>
      <c r="C361" s="7"/>
      <c r="D361" s="7"/>
      <c r="E361" s="35">
        <v>382900</v>
      </c>
      <c r="F361" s="9" t="s">
        <v>270</v>
      </c>
      <c r="G361" s="8"/>
      <c r="H361" s="8"/>
    </row>
    <row r="362" spans="1:12" ht="33.75" customHeight="1" x14ac:dyDescent="0.25">
      <c r="A362" s="48">
        <v>5</v>
      </c>
      <c r="B362" s="110" t="s">
        <v>275</v>
      </c>
      <c r="C362" s="7"/>
      <c r="D362" s="7"/>
      <c r="E362" s="35">
        <v>6640</v>
      </c>
      <c r="F362" s="9" t="s">
        <v>270</v>
      </c>
      <c r="G362" s="8"/>
      <c r="H362" s="8"/>
    </row>
    <row r="363" spans="1:12" ht="33.75" customHeight="1" thickBot="1" x14ac:dyDescent="0.3">
      <c r="A363" s="48">
        <v>6</v>
      </c>
      <c r="B363" s="246" t="s">
        <v>276</v>
      </c>
      <c r="C363" s="105"/>
      <c r="D363" s="105"/>
      <c r="E363" s="106">
        <v>6000</v>
      </c>
      <c r="F363" s="9" t="s">
        <v>270</v>
      </c>
      <c r="G363" s="8"/>
      <c r="H363" s="8"/>
    </row>
    <row r="364" spans="1:12" ht="18.75" thickBot="1" x14ac:dyDescent="0.3">
      <c r="A364" s="215" t="s">
        <v>19</v>
      </c>
      <c r="B364" s="216"/>
      <c r="C364" s="66" t="s">
        <v>20</v>
      </c>
      <c r="D364" s="66" t="s">
        <v>20</v>
      </c>
      <c r="E364" s="114">
        <f>SUM(E358:E363)</f>
        <v>2746209</v>
      </c>
      <c r="F364" s="67" t="s">
        <v>25</v>
      </c>
      <c r="G364" s="8"/>
      <c r="H364" s="8"/>
      <c r="J364" s="28" t="e">
        <f>E359+E360+#REF!+#REF!+#REF!+#REF!+D350+E320+F274+F273+F272+F271+F241+E190+C111-#REF!</f>
        <v>#REF!</v>
      </c>
    </row>
    <row r="365" spans="1:12" ht="16.5" customHeight="1" thickBot="1" x14ac:dyDescent="0.3">
      <c r="A365" s="225" t="s">
        <v>164</v>
      </c>
      <c r="B365" s="226"/>
      <c r="C365" s="226"/>
      <c r="D365" s="226"/>
      <c r="E365" s="226"/>
      <c r="F365" s="227"/>
      <c r="G365" s="20"/>
      <c r="H365" s="20"/>
      <c r="I365" s="20"/>
      <c r="K365" s="28" t="e">
        <f>#REF!-J364</f>
        <v>#REF!</v>
      </c>
    </row>
    <row r="366" spans="1:12" ht="16.5" customHeight="1" thickBot="1" x14ac:dyDescent="0.3">
      <c r="A366" s="20"/>
      <c r="B366" s="20"/>
      <c r="C366" s="20"/>
      <c r="D366" s="20"/>
      <c r="E366" s="20"/>
      <c r="F366" s="20"/>
      <c r="G366" s="20"/>
      <c r="H366" s="20"/>
      <c r="I366" s="20"/>
    </row>
    <row r="367" spans="1:12" ht="16.5" customHeight="1" x14ac:dyDescent="0.25">
      <c r="A367" s="208" t="s">
        <v>13</v>
      </c>
      <c r="B367" s="210" t="s">
        <v>14</v>
      </c>
      <c r="C367" s="210" t="s">
        <v>91</v>
      </c>
      <c r="D367" s="210" t="s">
        <v>87</v>
      </c>
      <c r="E367" s="210" t="s">
        <v>92</v>
      </c>
      <c r="F367" s="217" t="s">
        <v>93</v>
      </c>
      <c r="G367" s="20"/>
      <c r="H367" s="20"/>
    </row>
    <row r="368" spans="1:12" ht="16.5" customHeight="1" thickBot="1" x14ac:dyDescent="0.3">
      <c r="A368" s="209"/>
      <c r="B368" s="211"/>
      <c r="C368" s="211"/>
      <c r="D368" s="211"/>
      <c r="E368" s="211"/>
      <c r="F368" s="218"/>
      <c r="G368" s="32"/>
      <c r="H368" s="32"/>
    </row>
    <row r="369" spans="1:9" ht="16.5" customHeight="1" thickBot="1" x14ac:dyDescent="0.3">
      <c r="A369" s="65">
        <v>1</v>
      </c>
      <c r="B369" s="66">
        <v>2</v>
      </c>
      <c r="C369" s="66">
        <v>3</v>
      </c>
      <c r="D369" s="66">
        <v>4</v>
      </c>
      <c r="E369" s="66">
        <v>5</v>
      </c>
      <c r="F369" s="67">
        <v>6</v>
      </c>
      <c r="G369" s="20"/>
      <c r="H369" s="20"/>
    </row>
    <row r="370" spans="1:9" ht="36" x14ac:dyDescent="0.25">
      <c r="A370" s="153">
        <v>1</v>
      </c>
      <c r="B370" s="154" t="s">
        <v>204</v>
      </c>
      <c r="C370" s="128"/>
      <c r="D370" s="128"/>
      <c r="E370" s="155">
        <v>30000</v>
      </c>
      <c r="F370" s="124" t="s">
        <v>12</v>
      </c>
      <c r="G370" s="143"/>
      <c r="H370" s="143"/>
    </row>
    <row r="371" spans="1:9" ht="36" x14ac:dyDescent="0.25">
      <c r="A371" s="48">
        <v>2</v>
      </c>
      <c r="B371" s="110" t="s">
        <v>205</v>
      </c>
      <c r="C371" s="5"/>
      <c r="D371" s="5"/>
      <c r="E371" s="35">
        <v>343295.17</v>
      </c>
      <c r="F371" s="96" t="s">
        <v>12</v>
      </c>
      <c r="G371" s="143"/>
      <c r="H371" s="143"/>
    </row>
    <row r="372" spans="1:9" ht="32.25" customHeight="1" x14ac:dyDescent="0.25">
      <c r="A372" s="48">
        <v>3</v>
      </c>
      <c r="B372" s="110" t="s">
        <v>113</v>
      </c>
      <c r="C372" s="5"/>
      <c r="D372" s="5"/>
      <c r="E372" s="35">
        <v>10000</v>
      </c>
      <c r="F372" s="96" t="s">
        <v>12</v>
      </c>
      <c r="G372" s="143"/>
      <c r="H372" s="143"/>
    </row>
    <row r="373" spans="1:9" ht="34.5" customHeight="1" x14ac:dyDescent="0.25">
      <c r="A373" s="48">
        <v>4</v>
      </c>
      <c r="B373" s="9" t="s">
        <v>206</v>
      </c>
      <c r="C373" s="7"/>
      <c r="D373" s="7"/>
      <c r="E373" s="35">
        <v>117044</v>
      </c>
      <c r="F373" s="96" t="s">
        <v>192</v>
      </c>
      <c r="G373" s="20"/>
      <c r="H373" s="20"/>
      <c r="I373" s="20">
        <v>346</v>
      </c>
    </row>
    <row r="374" spans="1:9" ht="34.5" customHeight="1" x14ac:dyDescent="0.25">
      <c r="A374" s="48">
        <v>5</v>
      </c>
      <c r="B374" s="110" t="s">
        <v>205</v>
      </c>
      <c r="C374" s="7"/>
      <c r="D374" s="7"/>
      <c r="E374" s="35">
        <v>505.85</v>
      </c>
      <c r="F374" s="7" t="s">
        <v>207</v>
      </c>
      <c r="G374" s="40"/>
      <c r="H374" s="40"/>
      <c r="I374" s="40"/>
    </row>
    <row r="375" spans="1:9" ht="34.5" customHeight="1" x14ac:dyDescent="0.25">
      <c r="A375" s="48">
        <v>6</v>
      </c>
      <c r="B375" s="110" t="s">
        <v>255</v>
      </c>
      <c r="C375" s="7"/>
      <c r="D375" s="7"/>
      <c r="E375" s="35">
        <v>3556.8</v>
      </c>
      <c r="F375" s="7" t="s">
        <v>256</v>
      </c>
      <c r="G375" s="157"/>
      <c r="H375" s="157"/>
      <c r="I375" s="157"/>
    </row>
    <row r="376" spans="1:9" ht="18.75" thickBot="1" x14ac:dyDescent="0.3">
      <c r="A376" s="239" t="s">
        <v>19</v>
      </c>
      <c r="B376" s="240"/>
      <c r="C376" s="56" t="s">
        <v>20</v>
      </c>
      <c r="D376" s="56" t="s">
        <v>20</v>
      </c>
      <c r="E376" s="146">
        <f>SUM(E370:E375)</f>
        <v>504401.81999999995</v>
      </c>
      <c r="F376" s="109" t="s">
        <v>25</v>
      </c>
      <c r="G376" s="20"/>
      <c r="H376" s="20"/>
    </row>
    <row r="377" spans="1:9" ht="16.5" customHeight="1" thickBot="1" x14ac:dyDescent="0.3">
      <c r="A377" s="225" t="s">
        <v>164</v>
      </c>
      <c r="B377" s="226"/>
      <c r="C377" s="226"/>
      <c r="D377" s="226"/>
      <c r="E377" s="226"/>
      <c r="F377" s="227"/>
      <c r="G377" s="20"/>
      <c r="H377" s="20"/>
      <c r="I377" s="20"/>
    </row>
    <row r="378" spans="1:9" ht="16.5" customHeight="1" thickBot="1" x14ac:dyDescent="0.3">
      <c r="A378" s="20"/>
      <c r="B378" s="20"/>
      <c r="C378" s="20"/>
      <c r="D378" s="20"/>
      <c r="E378" s="20"/>
      <c r="F378" s="20"/>
      <c r="G378" s="20"/>
      <c r="H378" s="20"/>
      <c r="I378" s="20"/>
    </row>
    <row r="379" spans="1:9" ht="18.75" thickBot="1" x14ac:dyDescent="0.3">
      <c r="A379" s="74" t="s">
        <v>94</v>
      </c>
      <c r="B379" s="115"/>
      <c r="C379" s="115"/>
      <c r="D379" s="115"/>
      <c r="E379" s="115"/>
      <c r="F379" s="116">
        <f>E364+D336+E305+F265+F232+E168+F131+F94+E182+B102</f>
        <v>51774588.129999995</v>
      </c>
      <c r="G379" s="113"/>
      <c r="H379" s="113"/>
      <c r="I379" s="28"/>
    </row>
    <row r="380" spans="1:9" ht="18.75" thickBot="1" x14ac:dyDescent="0.3">
      <c r="A380" s="74" t="s">
        <v>95</v>
      </c>
      <c r="B380" s="115"/>
      <c r="C380" s="115"/>
      <c r="D380" s="115"/>
      <c r="E380" s="115"/>
      <c r="F380" s="116">
        <f>E376+D350+E320+F278+F242+E193+C111</f>
        <v>3236092.79</v>
      </c>
      <c r="G380" s="113"/>
      <c r="H380" s="113"/>
      <c r="I380" s="28"/>
    </row>
    <row r="381" spans="1:9" ht="18.75" customHeight="1" thickBot="1" x14ac:dyDescent="0.3">
      <c r="A381" s="242" t="s">
        <v>185</v>
      </c>
      <c r="B381" s="243"/>
      <c r="C381" s="243"/>
      <c r="D381" s="243"/>
      <c r="E381" s="243"/>
      <c r="F381" s="117">
        <f>SUM(F379:F380)</f>
        <v>55010680.919999994</v>
      </c>
      <c r="G381" s="113"/>
      <c r="H381" s="147"/>
    </row>
    <row r="382" spans="1:9" x14ac:dyDescent="0.25">
      <c r="F382" s="113"/>
      <c r="G382" s="147"/>
      <c r="H382" s="147"/>
    </row>
    <row r="383" spans="1:9" ht="30" customHeight="1" x14ac:dyDescent="0.25">
      <c r="A383" s="241" t="s">
        <v>193</v>
      </c>
      <c r="B383" s="241"/>
      <c r="F383" s="113"/>
      <c r="G383" s="147"/>
      <c r="H383" s="113"/>
      <c r="I383" s="28"/>
    </row>
    <row r="385" spans="6:6" x14ac:dyDescent="0.25">
      <c r="F385" s="28">
        <f>F381-55010680.92</f>
        <v>0</v>
      </c>
    </row>
  </sheetData>
  <mergeCells count="221">
    <mergeCell ref="A278:B278"/>
    <mergeCell ref="A279:G279"/>
    <mergeCell ref="A377:F377"/>
    <mergeCell ref="A365:F365"/>
    <mergeCell ref="F187:F188"/>
    <mergeCell ref="A350:B350"/>
    <mergeCell ref="E307:E308"/>
    <mergeCell ref="A305:B305"/>
    <mergeCell ref="A288:B288"/>
    <mergeCell ref="A290:G290"/>
    <mergeCell ref="A292:A293"/>
    <mergeCell ref="B292:B293"/>
    <mergeCell ref="C292:C293"/>
    <mergeCell ref="D292:D293"/>
    <mergeCell ref="E292:E293"/>
    <mergeCell ref="F292:F293"/>
    <mergeCell ref="A336:B336"/>
    <mergeCell ref="A338:A339"/>
    <mergeCell ref="B338:B339"/>
    <mergeCell ref="C338:C339"/>
    <mergeCell ref="D338:D339"/>
    <mergeCell ref="E338:E339"/>
    <mergeCell ref="F355:F356"/>
    <mergeCell ref="F367:F368"/>
    <mergeCell ref="A383:B383"/>
    <mergeCell ref="A364:B364"/>
    <mergeCell ref="A367:A368"/>
    <mergeCell ref="B367:B368"/>
    <mergeCell ref="C367:C368"/>
    <mergeCell ref="D367:D368"/>
    <mergeCell ref="E367:E368"/>
    <mergeCell ref="A381:E381"/>
    <mergeCell ref="A355:A356"/>
    <mergeCell ref="B355:B356"/>
    <mergeCell ref="C355:C356"/>
    <mergeCell ref="D355:D356"/>
    <mergeCell ref="E355:E356"/>
    <mergeCell ref="A376:B376"/>
    <mergeCell ref="A353:G353"/>
    <mergeCell ref="F307:F308"/>
    <mergeCell ref="A320:B320"/>
    <mergeCell ref="A323:G323"/>
    <mergeCell ref="A325:A326"/>
    <mergeCell ref="B325:B326"/>
    <mergeCell ref="C325:C326"/>
    <mergeCell ref="D325:D326"/>
    <mergeCell ref="A307:A308"/>
    <mergeCell ref="B307:B308"/>
    <mergeCell ref="C307:C308"/>
    <mergeCell ref="D307:D308"/>
    <mergeCell ref="E325:E326"/>
    <mergeCell ref="F284:F285"/>
    <mergeCell ref="E268:E269"/>
    <mergeCell ref="F268:F269"/>
    <mergeCell ref="G268:G269"/>
    <mergeCell ref="A282:F282"/>
    <mergeCell ref="A266:G266"/>
    <mergeCell ref="A256:H256"/>
    <mergeCell ref="A258:A259"/>
    <mergeCell ref="B258:B259"/>
    <mergeCell ref="C258:C259"/>
    <mergeCell ref="D258:D259"/>
    <mergeCell ref="E258:E259"/>
    <mergeCell ref="F258:F259"/>
    <mergeCell ref="G258:G259"/>
    <mergeCell ref="A268:A269"/>
    <mergeCell ref="B268:B269"/>
    <mergeCell ref="C268:C269"/>
    <mergeCell ref="D268:D269"/>
    <mergeCell ref="A284:A285"/>
    <mergeCell ref="B284:B285"/>
    <mergeCell ref="C284:C285"/>
    <mergeCell ref="D284:D285"/>
    <mergeCell ref="E284:E285"/>
    <mergeCell ref="A265:B265"/>
    <mergeCell ref="A253:F253"/>
    <mergeCell ref="A246:G246"/>
    <mergeCell ref="A248:A249"/>
    <mergeCell ref="B248:B249"/>
    <mergeCell ref="C248:C249"/>
    <mergeCell ref="D248:D249"/>
    <mergeCell ref="E248:E249"/>
    <mergeCell ref="F248:F249"/>
    <mergeCell ref="F238:F239"/>
    <mergeCell ref="A243:G243"/>
    <mergeCell ref="G238:G239"/>
    <mergeCell ref="A242:B242"/>
    <mergeCell ref="A232:B232"/>
    <mergeCell ref="J233:J234"/>
    <mergeCell ref="A238:A239"/>
    <mergeCell ref="B238:B239"/>
    <mergeCell ref="C238:C239"/>
    <mergeCell ref="D238:D239"/>
    <mergeCell ref="E238:E239"/>
    <mergeCell ref="A233:G233"/>
    <mergeCell ref="B235:J235"/>
    <mergeCell ref="B236:J236"/>
    <mergeCell ref="A225:H225"/>
    <mergeCell ref="A227:A228"/>
    <mergeCell ref="B227:B228"/>
    <mergeCell ref="C227:C228"/>
    <mergeCell ref="D227:D228"/>
    <mergeCell ref="E227:E228"/>
    <mergeCell ref="F227:F228"/>
    <mergeCell ref="G227:G228"/>
    <mergeCell ref="A218:E218"/>
    <mergeCell ref="A220:H220"/>
    <mergeCell ref="A222:H222"/>
    <mergeCell ref="A223:H223"/>
    <mergeCell ref="A213:A214"/>
    <mergeCell ref="B213:B214"/>
    <mergeCell ref="C213:C214"/>
    <mergeCell ref="D213:D214"/>
    <mergeCell ref="E213:E214"/>
    <mergeCell ref="A217:B217"/>
    <mergeCell ref="A205:E205"/>
    <mergeCell ref="F205:F206"/>
    <mergeCell ref="A206:E206"/>
    <mergeCell ref="A208:E208"/>
    <mergeCell ref="A210:E210"/>
    <mergeCell ref="A211:E211"/>
    <mergeCell ref="A200:A201"/>
    <mergeCell ref="B200:B201"/>
    <mergeCell ref="C200:C201"/>
    <mergeCell ref="D200:D201"/>
    <mergeCell ref="E200:E201"/>
    <mergeCell ref="A204:B204"/>
    <mergeCell ref="A193:B193"/>
    <mergeCell ref="A195:E195"/>
    <mergeCell ref="A197:E197"/>
    <mergeCell ref="A198:E198"/>
    <mergeCell ref="A184:E184"/>
    <mergeCell ref="A185:E185"/>
    <mergeCell ref="A187:A188"/>
    <mergeCell ref="B187:B188"/>
    <mergeCell ref="C187:C188"/>
    <mergeCell ref="D187:D188"/>
    <mergeCell ref="E187:E188"/>
    <mergeCell ref="A182:B182"/>
    <mergeCell ref="A175:E175"/>
    <mergeCell ref="A177:A178"/>
    <mergeCell ref="B177:B178"/>
    <mergeCell ref="C177:C178"/>
    <mergeCell ref="D177:D178"/>
    <mergeCell ref="E177:E178"/>
    <mergeCell ref="A168:B168"/>
    <mergeCell ref="A169:E169"/>
    <mergeCell ref="F169:F170"/>
    <mergeCell ref="A170:E170"/>
    <mergeCell ref="A172:E172"/>
    <mergeCell ref="A174:E174"/>
    <mergeCell ref="A157:E157"/>
    <mergeCell ref="A159:E159"/>
    <mergeCell ref="A160:E160"/>
    <mergeCell ref="A162:A163"/>
    <mergeCell ref="B162:B163"/>
    <mergeCell ref="C162:C163"/>
    <mergeCell ref="D162:D163"/>
    <mergeCell ref="E162:E163"/>
    <mergeCell ref="A136:F136"/>
    <mergeCell ref="A137:F137"/>
    <mergeCell ref="A138:F138"/>
    <mergeCell ref="A140:A141"/>
    <mergeCell ref="B140:B141"/>
    <mergeCell ref="C140:C141"/>
    <mergeCell ref="D140:D141"/>
    <mergeCell ref="A135:F135"/>
    <mergeCell ref="A121:B121"/>
    <mergeCell ref="A122:F122"/>
    <mergeCell ref="A132:F132"/>
    <mergeCell ref="G132:G133"/>
    <mergeCell ref="A133:F133"/>
    <mergeCell ref="A113:D113"/>
    <mergeCell ref="A115:F115"/>
    <mergeCell ref="A117:A118"/>
    <mergeCell ref="B117:B118"/>
    <mergeCell ref="C117:C118"/>
    <mergeCell ref="D117:D118"/>
    <mergeCell ref="E117:E118"/>
    <mergeCell ref="F117:F118"/>
    <mergeCell ref="G122:G123"/>
    <mergeCell ref="A123:F123"/>
    <mergeCell ref="A125:F125"/>
    <mergeCell ref="A127:A128"/>
    <mergeCell ref="B127:B128"/>
    <mergeCell ref="C127:C128"/>
    <mergeCell ref="E127:E128"/>
    <mergeCell ref="F127:F128"/>
    <mergeCell ref="A131:B131"/>
    <mergeCell ref="A95:G95"/>
    <mergeCell ref="A96:G96"/>
    <mergeCell ref="A106:B106"/>
    <mergeCell ref="C106:D108"/>
    <mergeCell ref="A107:B107"/>
    <mergeCell ref="A108:B108"/>
    <mergeCell ref="A89:C89"/>
    <mergeCell ref="D89:E89"/>
    <mergeCell ref="F89:G91"/>
    <mergeCell ref="A90:B90"/>
    <mergeCell ref="D90:E90"/>
    <mergeCell ref="A91:B91"/>
    <mergeCell ref="D91:E91"/>
    <mergeCell ref="A97:B97"/>
    <mergeCell ref="C97:D99"/>
    <mergeCell ref="A98:B98"/>
    <mergeCell ref="A99:B99"/>
    <mergeCell ref="A104:D104"/>
    <mergeCell ref="A1:G1"/>
    <mergeCell ref="C2:D2"/>
    <mergeCell ref="A82:G82"/>
    <mergeCell ref="A84:G84"/>
    <mergeCell ref="A85:G85"/>
    <mergeCell ref="A87:G87"/>
    <mergeCell ref="A16:B16"/>
    <mergeCell ref="A30:B30"/>
    <mergeCell ref="A31:E31"/>
    <mergeCell ref="A47:B47"/>
    <mergeCell ref="B37:F37"/>
    <mergeCell ref="B49:F49"/>
    <mergeCell ref="A54:B54"/>
    <mergeCell ref="A77:B77"/>
  </mergeCells>
  <pageMargins left="0.11811023622047245" right="0.11811023622047245" top="0.35433070866141736" bottom="0.35433070866141736" header="0.31496062992125984" footer="0.31496062992125984"/>
  <pageSetup paperSize="9" scale="28" fitToHeight="5" orientation="landscape" r:id="rId1"/>
  <rowBreaks count="2" manualBreakCount="2">
    <brk id="219" max="7" man="1"/>
    <brk id="3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 на 30.09.2020</vt:lpstr>
      <vt:lpstr>'93 на 30.09.2020'!Область_печати</vt:lpstr>
    </vt:vector>
  </TitlesOfParts>
  <Company>ADM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Пак Наталья Валерьевна</dc:creator>
  <cp:lastModifiedBy>Фатеева Светлана Евгеньевна</cp:lastModifiedBy>
  <cp:lastPrinted>2019-10-30T06:15:18Z</cp:lastPrinted>
  <dcterms:created xsi:type="dcterms:W3CDTF">2018-11-20T06:41:35Z</dcterms:created>
  <dcterms:modified xsi:type="dcterms:W3CDTF">2020-10-01T11:57:26Z</dcterms:modified>
</cp:coreProperties>
</file>